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UmvCVosaMP/Ikc+AOxqLyLLvErr6h9EeJbiu6pzr9wvKuGnyhPlKhxtPkrtdCh6mTPRPmNcehpR8MjrFOnRVKA==" workbookSaltValue="LlWUFbHDV+T/fyzh4d6VL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AY20" i="20"/>
  <c r="AW13" i="11" l="1"/>
  <c r="EV19" i="19"/>
  <c r="EW19" i="19"/>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EP19" i="8"/>
  <c r="ER19" i="13"/>
  <c r="AL13" i="16"/>
  <c r="AJ13" i="16"/>
  <c r="EP19" i="19"/>
  <c r="S13" i="16"/>
  <c r="P13" i="16"/>
  <c r="AM13" i="20"/>
  <c r="K18" i="2"/>
  <c r="M13" i="2"/>
  <c r="M18" i="2"/>
  <c r="N13" i="2"/>
  <c r="N18" i="2"/>
  <c r="T13" i="12"/>
  <c r="T13" i="16"/>
  <c r="T13" i="20"/>
  <c r="BF15" i="8"/>
  <c r="AU18" i="21"/>
  <c r="AH13" i="16"/>
  <c r="AP13" i="16"/>
  <c r="T18" i="17"/>
  <c r="BG15" i="13"/>
  <c r="BE15" i="13"/>
  <c r="AX20" i="20"/>
  <c r="AC19" i="8" l="1"/>
  <c r="AL16" i="11"/>
  <c r="C16" i="6"/>
  <c r="S19" i="8"/>
  <c r="BD15" i="13"/>
  <c r="BE16" i="13"/>
  <c r="BF9" i="8"/>
  <c r="AB13" i="21"/>
  <c r="AB19" i="21" s="1"/>
  <c r="R8" i="9"/>
  <c r="T17" i="11"/>
  <c r="X10" i="17"/>
  <c r="X13" i="20"/>
  <c r="X17" i="20"/>
  <c r="AA12" i="21"/>
  <c r="L11" i="2"/>
  <c r="V15" i="20"/>
  <c r="V18" i="20" s="1"/>
  <c r="S17" i="14"/>
  <c r="V17" i="14" s="1"/>
  <c r="R12" i="14"/>
  <c r="S9" i="14"/>
  <c r="V9" i="14" s="1"/>
  <c r="T15" i="11"/>
  <c r="AA10" i="16"/>
  <c r="AA15" i="16"/>
  <c r="AA9" i="16"/>
  <c r="V15" i="16"/>
  <c r="AQ13" i="21"/>
  <c r="J18" i="17"/>
  <c r="E13" i="17"/>
  <c r="BE12" i="13"/>
  <c r="H13" i="12"/>
  <c r="BF16" i="8"/>
  <c r="BF12" i="8"/>
  <c r="BD15" i="8"/>
  <c r="AP13" i="17"/>
  <c r="L19" i="8"/>
  <c r="AR18" i="11"/>
  <c r="Z13" i="17"/>
  <c r="AL12" i="11"/>
  <c r="E12" i="6"/>
  <c r="F10" i="2"/>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O19" i="8"/>
  <c r="AL15" i="11"/>
  <c r="AP10" i="11"/>
  <c r="BM18" i="16"/>
  <c r="AS19" i="8"/>
  <c r="H18" i="16"/>
  <c r="F11" i="16"/>
  <c r="AC11" i="11"/>
  <c r="N9" i="11"/>
  <c r="G17" i="3"/>
  <c r="G15" i="3"/>
  <c r="I12" i="3"/>
  <c r="I10" i="3"/>
  <c r="AO17" i="11"/>
  <c r="I18" i="2"/>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BD18" i="19"/>
  <c r="CJ19" i="19"/>
  <c r="AF13" i="21"/>
  <c r="AF19" i="21" s="1"/>
  <c r="AN19" i="13"/>
  <c r="X19" i="13"/>
  <c r="V19" i="13"/>
  <c r="BF18" i="13"/>
  <c r="BF15" i="13"/>
  <c r="BA13" i="13"/>
  <c r="AZ13" i="13"/>
  <c r="BG9" i="13"/>
  <c r="BG11" i="13"/>
  <c r="BC13" i="13"/>
  <c r="BD12" i="13"/>
  <c r="AY13" i="8"/>
  <c r="B15" i="6"/>
  <c r="AO17" i="17"/>
  <c r="J18" i="2"/>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H9" i="7"/>
  <c r="C12" i="6"/>
  <c r="AO16" i="11"/>
  <c r="H9" i="2"/>
  <c r="B10" i="6"/>
  <c r="G13" i="21"/>
  <c r="AV20" i="20"/>
  <c r="AE20" i="20"/>
  <c r="AB20" i="20"/>
  <c r="Y20" i="20"/>
  <c r="I20" i="20"/>
  <c r="W20" i="21"/>
  <c r="AZ20" i="20"/>
  <c r="J20" i="20"/>
  <c r="R20" i="20"/>
  <c r="U10" i="11"/>
  <c r="U16" i="11"/>
  <c r="AM20" i="20"/>
  <c r="G13" i="14"/>
  <c r="X20" i="20"/>
  <c r="P20" i="20"/>
  <c r="L20" i="20"/>
  <c r="AN20" i="20"/>
  <c r="M20" i="20"/>
  <c r="AO20" i="20"/>
  <c r="AA20" i="20"/>
  <c r="T20" i="21"/>
  <c r="N20" i="20"/>
  <c r="G18" i="14"/>
  <c r="AJ20" i="20"/>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I11" i="12" l="1"/>
  <c r="X12" i="21"/>
  <c r="T9" i="11"/>
  <c r="BF11" i="11"/>
  <c r="BH11" i="16"/>
  <c r="BL9" i="11"/>
  <c r="BH17" i="16"/>
  <c r="BG10" i="1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Q18" i="17" s="1"/>
  <c r="Q19" i="17" s="1"/>
  <c r="BM17" i="11"/>
  <c r="BF15" i="11"/>
  <c r="BH16" i="11"/>
  <c r="AQ12" i="21"/>
  <c r="BJ16" i="11"/>
  <c r="BL16" i="11"/>
  <c r="L10" i="2"/>
  <c r="L15" i="2"/>
  <c r="L16" i="2"/>
  <c r="X10" i="21"/>
  <c r="U9" i="17"/>
  <c r="U19" i="17" s="1"/>
  <c r="L9" i="2"/>
  <c r="V9" i="16"/>
  <c r="BH9" i="16"/>
  <c r="BJ17" i="11"/>
  <c r="BH15" i="16"/>
  <c r="V11" i="16"/>
  <c r="BF16" i="11"/>
  <c r="BL12" i="11"/>
  <c r="V12" i="21"/>
  <c r="S9" i="17"/>
  <c r="BI10" i="11"/>
  <c r="V9" i="11"/>
  <c r="R10" i="21"/>
  <c r="R13" i="21" s="1"/>
  <c r="R19" i="21" s="1"/>
  <c r="BG9" i="11"/>
  <c r="BH17" i="11"/>
  <c r="T17" i="16"/>
  <c r="BU15" i="17"/>
  <c r="BW17" i="20"/>
  <c r="BW16" i="20"/>
  <c r="BW15" i="20"/>
  <c r="BV10" i="16"/>
  <c r="BV13" i="16" s="1"/>
  <c r="S11" i="17"/>
  <c r="AZ11" i="11"/>
  <c r="S15" i="16"/>
  <c r="BF12" i="11"/>
  <c r="BL10" i="11"/>
  <c r="BK16" i="11"/>
  <c r="BK18" i="11" s="1"/>
  <c r="BG16" i="11"/>
  <c r="BM9" i="11"/>
  <c r="P9" i="11" s="1"/>
  <c r="BK10" i="11"/>
  <c r="S15" i="17"/>
  <c r="S16" i="17"/>
  <c r="L17" i="2"/>
  <c r="V10" i="16"/>
  <c r="AP16" i="20"/>
  <c r="V15" i="11"/>
  <c r="BH15" i="11"/>
  <c r="Q17" i="20"/>
  <c r="Q18" i="20" s="1"/>
  <c r="BF17" i="11"/>
  <c r="S17" i="16"/>
  <c r="V17" i="16"/>
  <c r="BK15" i="11"/>
  <c r="AZ17" i="11"/>
  <c r="Q10" i="21"/>
  <c r="BJ11" i="11"/>
  <c r="BI17" i="11"/>
  <c r="BL11" i="11"/>
  <c r="BM15" i="11"/>
  <c r="T15" i="16"/>
  <c r="T18" i="16" s="1"/>
  <c r="T19" i="16" s="1"/>
  <c r="BW9" i="20"/>
  <c r="BV16" i="16"/>
  <c r="BV18" i="16" s="1"/>
  <c r="BV15" i="16"/>
  <c r="BU9" i="17"/>
  <c r="BU17" i="17"/>
  <c r="BU12" i="17"/>
  <c r="AZ16" i="11"/>
  <c r="X17" i="17"/>
  <c r="P15" i="17"/>
  <c r="P18" i="17" s="1"/>
  <c r="P19" i="17" s="1"/>
  <c r="BL15" i="11"/>
  <c r="P15" i="11" s="1"/>
  <c r="BJ10" i="11"/>
  <c r="BH11" i="11"/>
  <c r="S17" i="17"/>
  <c r="BH12" i="16"/>
  <c r="L12" i="2"/>
  <c r="X15" i="16"/>
  <c r="X18" i="16" s="1"/>
  <c r="T12" i="11"/>
  <c r="R17" i="14"/>
  <c r="S16" i="14"/>
  <c r="V16" i="14" s="1"/>
  <c r="AM16" i="11"/>
  <c r="AO16" i="17"/>
  <c r="AO12" i="17"/>
  <c r="AP13" i="20"/>
  <c r="X12" i="16"/>
  <c r="AA11" i="16"/>
  <c r="X15" i="17"/>
  <c r="X12" i="17"/>
  <c r="AA16" i="16"/>
  <c r="S15" i="14"/>
  <c r="V15" i="14" s="1"/>
  <c r="R16" i="14"/>
  <c r="R10" i="14"/>
  <c r="S10" i="14"/>
  <c r="V10" i="14" s="1"/>
  <c r="X9" i="16"/>
  <c r="X19" i="16" s="1"/>
  <c r="X16" i="20"/>
  <c r="U10" i="21"/>
  <c r="T17" i="20"/>
  <c r="X9" i="17"/>
  <c r="X16" i="17"/>
  <c r="S11" i="14"/>
  <c r="V11" i="14" s="1"/>
  <c r="T11" i="11"/>
  <c r="AM15" i="11"/>
  <c r="R11" i="14"/>
  <c r="S12" i="14"/>
  <c r="V12" i="14" s="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K12" i="12"/>
  <c r="AJ18" i="11"/>
  <c r="D18" i="5"/>
  <c r="F16" i="2"/>
  <c r="H16" i="2"/>
  <c r="J16" i="2"/>
  <c r="F13" i="3"/>
  <c r="E9" i="3"/>
  <c r="G9" i="3"/>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D19" i="12"/>
  <c r="I17" i="12"/>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O13" i="17" l="1"/>
  <c r="Q16" i="11"/>
  <c r="BW21" i="20"/>
  <c r="P17" i="11"/>
  <c r="BF13" i="8"/>
  <c r="BE13" i="8"/>
  <c r="AL13" i="11"/>
  <c r="B13" i="6"/>
  <c r="BU21" i="17"/>
  <c r="BK19" i="11"/>
  <c r="BH13" i="11"/>
  <c r="S18" i="16"/>
  <c r="S19" i="16" s="1"/>
  <c r="AZ13" i="11"/>
  <c r="AZ19" i="11"/>
  <c r="BJ18" i="11"/>
  <c r="Q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BR20" i="16"/>
  <c r="H20" i="17"/>
  <c r="AW20" i="11"/>
  <c r="AX20" i="21"/>
  <c r="BP20" i="16"/>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1"/>
  <c r="BG20" i="16"/>
  <c r="AX20" i="16"/>
  <c r="W20" i="16"/>
  <c r="AY20" i="11"/>
  <c r="AA20" i="17"/>
  <c r="AC20" i="16"/>
  <c r="AV20" i="16"/>
  <c r="AK20" i="21"/>
  <c r="AN20" i="11"/>
  <c r="Y20" i="11"/>
  <c r="AH20" i="17"/>
  <c r="X20" i="11"/>
  <c r="F20" i="11"/>
  <c r="R20" i="11"/>
  <c r="AH20" i="21"/>
  <c r="AE20" i="16"/>
  <c r="Z20" i="16"/>
  <c r="P20" i="16"/>
  <c r="BB20" i="16"/>
  <c r="AM20" i="17"/>
  <c r="U20" i="20"/>
  <c r="Y20" i="17"/>
  <c r="AM20" i="11"/>
  <c r="I20" i="17"/>
  <c r="N20" i="17"/>
  <c r="BQ20" i="16"/>
  <c r="E20" i="12"/>
  <c r="AA20" i="16"/>
  <c r="AW20" i="16"/>
  <c r="BO20" i="16"/>
  <c r="AF20" i="16"/>
  <c r="AN20" i="17"/>
  <c r="O20" i="16"/>
  <c r="AH20" i="11"/>
  <c r="BH20" i="16"/>
  <c r="AT20" i="16"/>
  <c r="AG20" i="21"/>
  <c r="S20" i="16"/>
  <c r="P20" i="17"/>
  <c r="AT20" i="20"/>
  <c r="W20" i="17"/>
  <c r="AM20" i="21"/>
  <c r="Q20" i="21"/>
  <c r="AA20" i="21"/>
  <c r="AJ20" i="11"/>
  <c r="Y20" i="21"/>
  <c r="Y20" i="16"/>
  <c r="AO20" i="21"/>
  <c r="N20" i="21"/>
  <c r="AE20" i="11"/>
  <c r="AM20" i="16"/>
  <c r="AP20" i="16"/>
  <c r="Q20" i="11"/>
  <c r="AG20" i="17"/>
  <c r="AI20" i="21"/>
  <c r="AS20" i="16"/>
  <c r="BS20" i="16"/>
  <c r="H20" i="12"/>
  <c r="AL20" i="21"/>
  <c r="AA20" i="11"/>
  <c r="K20" i="12"/>
  <c r="AR20" i="17"/>
  <c r="AR20" i="16"/>
  <c r="N20" i="16"/>
  <c r="T20" i="17"/>
  <c r="AB20" i="17"/>
  <c r="K20" i="21"/>
  <c r="AU20" i="11"/>
  <c r="L20" i="21"/>
  <c r="F20" i="17"/>
  <c r="AI20" i="16"/>
  <c r="M20" i="16"/>
  <c r="O12" i="11"/>
  <c r="BA20" i="16"/>
  <c r="Z20" i="17"/>
  <c r="BD19" i="8" l="1"/>
  <c r="AQ20" i="17"/>
  <c r="AP20" i="11"/>
  <c r="AT20" i="21"/>
  <c r="BL20" i="16"/>
  <c r="AQ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<sst xmlns="http://schemas.openxmlformats.org/spreadsheetml/2006/main" count="2102" uniqueCount="917">
  <si>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</si>
  <si>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</si>
  <si>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</si>
  <si>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</si>
  <si>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</si>
  <si>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</si>
  <si>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</si>
  <si>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</si>
  <si>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</si>
  <si>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</si>
  <si>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</si>
  <si>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</si>
  <si>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</si>
  <si>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</si>
  <si>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</si>
  <si>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</si>
  <si>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</si>
  <si>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</si>
  <si>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</si>
  <si>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</si>
  <si>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</si>
  <si>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</si>
  <si>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</si>
  <si>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</si>
  <si>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</si>
  <si>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</si>
  <si>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</si>
  <si>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</si>
  <si>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</si>
  <si>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</si>
  <si>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</si>
  <si>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</si>
  <si>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</si>
  <si>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</si>
  <si>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</si>
  <si>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</si>
  <si>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</si>
  <si>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</si>
  <si>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</si>
  <si>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</si>
  <si>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</si>
  <si>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</si>
  <si>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</si>
  <si>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</si>
  <si>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</si>
  <si>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</si>
  <si>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</si>
  <si>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</si>
  <si>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</si>
  <si>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</si>
  <si>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</si>
  <si>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</si>
  <si>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</si>
  <si>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</si>
  <si>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</si>
  <si>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</si>
  <si>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</si>
  <si>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</si>
  <si>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</si>
  <si>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</si>
  <si>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</si>
  <si>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</si>
  <si>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</si>
  <si>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</si>
  <si>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</si>
  <si>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</si>
  <si>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</si>
  <si>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</si>
  <si>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</si>
  <si>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</si>
  <si>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</si>
  <si>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</si>
  <si>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</si>
  <si>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</si>
  <si>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</si>
  <si>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</si>
  <si>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</si>
  <si>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</si>
  <si>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</si>
  <si>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</si>
  <si>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</si>
  <si>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</si>
  <si>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</si>
  <si>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</si>
  <si>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</si>
  <si>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</si>
  <si>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</si>
  <si>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</si>
  <si>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</si>
  <si>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</si>
  <si>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</si>
  <si>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</si>
  <si>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</si>
  <si>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</si>
  <si>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</si>
  <si>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</si>
  <si>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</si>
  <si>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</si>
  <si>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</si>
  <si>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</si>
  <si>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</si>
  <si>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</si>
  <si>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</si>
  <si>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</si>
  <si>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</si>
  <si>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</si>
  <si>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</si>
  <si>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</si>
  <si>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</si>
  <si>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</si>
  <si>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</si>
  <si>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</si>
  <si>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</si>
  <si>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</si>
  <si>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</si>
  <si>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</si>
  <si>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</si>
  <si>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</si>
  <si>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</si>
  <si>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</si>
  <si>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</si>
  <si>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</si>
  <si>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</si>
  <si>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</si>
  <si>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</si>
  <si>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</si>
  <si>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</si>
  <si>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</si>
  <si>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</si>
  <si>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</si>
  <si>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</si>
  <si>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</si>
  <si>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</si>
  <si>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</si>
  <si>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</si>
  <si>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</si>
  <si>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</si>
  <si>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</si>
  <si>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</si>
  <si>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</si>
  <si>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</si>
  <si>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</si>
  <si>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</si>
  <si>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</si>
  <si>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</si>
  <si>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</si>
  <si>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</si>
  <si>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</si>
  <si>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</si>
  <si>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</si>
  <si>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</si>
  <si>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</si>
  <si>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</si>
  <si>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</si>
  <si>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</si>
  <si>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</si>
  <si>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</si>
  <si>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</si>
  <si>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</si>
  <si>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</si>
  <si>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</si>
  <si>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</si>
  <si>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</si>
  <si>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</si>
  <si>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</si>
  <si>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</si>
  <si>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</si>
  <si>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</si>
  <si>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</si>
  <si>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</si>
  <si>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</si>
  <si>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</si>
  <si>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</si>
  <si>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</si>
  <si>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</si>
  <si>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</si>
  <si>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</si>
  <si>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</si>
  <si>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</si>
  <si>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</si>
  <si>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</si>
  <si>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</si>
  <si>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</si>
  <si>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</si>
  <si>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</si>
  <si>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</si>
  <si>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</si>
  <si>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</si>
  <si>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</si>
  <si>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</si>
  <si>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</si>
  <si>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</si>
  <si>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</si>
  <si>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</si>
  <si>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</si>
  <si>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</si>
  <si>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</si>
  <si>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</si>
  <si>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</si>
  <si>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</si>
  <si>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</si>
  <si>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</si>
  <si>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</si>
  <si>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</si>
  <si>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</si>
  <si>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</si>
  <si>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</si>
  <si>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</si>
  <si>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</si>
  <si>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</si>
  <si>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</si>
  <si>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</si>
  <si>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</si>
  <si>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</si>
  <si>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</si>
  <si>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</si>
  <si>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</si>
  <si>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</si>
  <si>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</si>
  <si>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</si>
  <si>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</si>
  <si>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</si>
  <si>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</si>
  <si>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</si>
  <si>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</si>
  <si>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</si>
  <si>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</si>
  <si>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</si>
  <si>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</si>
  <si>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</si>
  <si>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</si>
  <si>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</si>
  <si>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</si>
  <si>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</si>
  <si>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</si>
  <si>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</si>
  <si>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</si>
  <si>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</si>
  <si>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</si>
  <si>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</si>
  <si>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</si>
  <si>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</si>
  <si>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</si>
  <si>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</si>
  <si>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</si>
  <si>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</si>
  <si>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</si>
  <si>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</si>
  <si>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</si>
  <si>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</si>
  <si>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</si>
  <si>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</si>
  <si>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</si>
  <si>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</si>
  <si>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</si>
  <si>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</si>
  <si>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</si>
  <si>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</si>
  <si>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</si>
  <si>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</si>
  <si>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</si>
  <si>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</si>
  <si>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</si>
  <si>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</si>
  <si>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</si>
  <si>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</si>
  <si>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</si>
  <si>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</si>
  <si>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</si>
  <si>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</si>
  <si>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</si>
  <si>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</si>
  <si>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</si>
  <si>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</si>
  <si>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</si>
  <si>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</si>
  <si>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</si>
  <si>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</si>
  <si>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</si>
  <si>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</si>
  <si>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</si>
  <si>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</si>
  <si>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</si>
  <si>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</si>
  <si>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</si>
  <si>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</si>
  <si>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</si>
  <si>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</si>
  <si>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</si>
  <si>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</si>
  <si>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</si>
  <si>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</si>
  <si>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</si>
  <si>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</si>
  <si>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</si>
  <si>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</si>
  <si>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</si>
  <si>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</si>
  <si>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</si>
  <si>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</si>
  <si>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</si>
  <si>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</si>
  <si>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</si>
  <si>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</si>
  <si>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</si>
  <si>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</si>
  <si>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</si>
  <si>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</si>
  <si>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</si>
  <si>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</si>
  <si>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</si>
  <si>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</si>
  <si>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</si>
  <si>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</si>
  <si>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</si>
  <si>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</si>
  <si>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</si>
  <si>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</si>
  <si>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</si>
  <si>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</si>
  <si>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</si>
  <si>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</si>
  <si>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</si>
  <si>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</si>
  <si>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</si>
  <si>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</si>
  <si>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</si>
  <si>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</si>
  <si>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</si>
  <si>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</si>
  <si>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</si>
  <si>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</si>
  <si>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</si>
  <si>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</si>
  <si>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</si>
  <si>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</si>
  <si>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</si>
  <si>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</si>
  <si>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</si>
  <si>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</si>
  <si>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</si>
  <si>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</si>
  <si>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</si>
  <si>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</si>
  <si>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</si>
  <si>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</si>
  <si>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</si>
  <si>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</si>
  <si>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</si>
  <si>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</si>
  <si>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</si>
  <si>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</si>
  <si>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</si>
  <si>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</si>
  <si>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</si>
  <si>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</si>
  <si>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</si>
  <si>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</si>
  <si>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</si>
  <si>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</si>
  <si>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</si>
  <si>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</si>
  <si>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</si>
  <si>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</si>
  <si>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</si>
  <si>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</si>
  <si>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</si>
  <si>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</si>
  <si>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</si>
  <si>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</si>
  <si>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</si>
  <si>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</si>
  <si>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</si>
  <si>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</si>
  <si>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</si>
  <si>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</si>
  <si>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</si>
  <si>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</si>
  <si>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</si>
  <si>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</si>
  <si>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</si>
  <si>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</si>
  <si>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</si>
  <si>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</si>
  <si>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</si>
  <si>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</si>
  <si>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</si>
  <si>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</si>
  <si>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</si>
  <si>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</si>
  <si>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</si>
  <si>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</si>
  <si>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</si>
  <si>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</si>
  <si>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</si>
  <si>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</si>
  <si>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</si>
  <si>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</si>
  <si>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</si>
  <si>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</si>
  <si>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</si>
  <si>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</si>
  <si>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</si>
  <si>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</si>
  <si>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</si>
  <si>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</si>
  <si>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</si>
  <si>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</si>
  <si>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</si>
  <si>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</si>
  <si>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</si>
  <si>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</si>
  <si>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</si>
  <si>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</si>
  <si>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</si>
  <si>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</si>
  <si>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</si>
  <si>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</si>
  <si>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</si>
  <si>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</si>
  <si>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</si>
  <si>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</si>
  <si>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</si>
  <si>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</si>
  <si>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</si>
  <si>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</si>
  <si>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</si>
  <si>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</si>
  <si>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</si>
  <si>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</si>
  <si>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</si>
  <si>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</si>
  <si>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</si>
  <si>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</si>
  <si>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</si>
  <si>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</si>
  <si>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</si>
  <si>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</si>
  <si>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</si>
  <si>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</si>
  <si>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</si>
  <si>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</si>
  <si>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</si>
  <si>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</si>
  <si>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</si>
  <si>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</si>
  <si>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</si>
  <si>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</si>
  <si>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</si>
  <si>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</si>
  <si>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</si>
  <si>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</si>
  <si>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</si>
  <si>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</si>
  <si>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</si>
  <si>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</si>
  <si>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</si>
  <si>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</si>
  <si>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</si>
  <si>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</si>
  <si>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</si>
  <si>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</si>
  <si>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</si>
  <si>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</si>
  <si>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</si>
  <si>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</si>
  <si>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</si>
  <si>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</si>
  <si>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</si>
  <si>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</si>
  <si>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</si>
  <si>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</si>
  <si>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</si>
  <si>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</si>
  <si>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</si>
  <si>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</si>
  <si>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</si>
  <si>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</si>
  <si>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</si>
  <si>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</si>
  <si>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</si>
  <si>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</si>
  <si>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</si>
  <si>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</si>
  <si>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</si>
  <si>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</si>
  <si>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</si>
  <si>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</si>
  <si>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</si>
  <si>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</si>
  <si>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</si>
  <si>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</si>
  <si>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</si>
  <si>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</si>
  <si>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</si>
  <si>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</si>
  <si>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</si>
  <si>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</si>
  <si>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</si>
  <si>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</si>
  <si>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</si>
  <si>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</si>
  <si>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</si>
  <si>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</si>
  <si>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</si>
  <si>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</si>
  <si>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</si>
  <si>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</si>
  <si>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</si>
  <si>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</si>
  <si>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</si>
  <si>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</si>
  <si>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</si>
  <si>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</si>
  <si>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</si>
  <si>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</si>
  <si>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</si>
  <si>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</si>
  <si>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</si>
  <si>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</si>
  <si>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</si>
  <si>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</si>
  <si>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</si>
  <si>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</si>
  <si>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</si>
  <si>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</si>
  <si>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</si>
  <si>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</si>
  <si>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</si>
  <si>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</si>
  <si>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</si>
  <si>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</si>
  <si>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</si>
  <si>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</si>
  <si>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</si>
  <si>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</si>
  <si>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</si>
  <si>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</si>
  <si>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</si>
  <si>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</si>
  <si>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</si>
  <si>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</si>
  <si>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</si>
  <si>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</si>
  <si>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</si>
  <si>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</si>
  <si>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</si>
  <si>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</si>
  <si>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</si>
  <si>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</si>
  <si>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</si>
  <si>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</si>
  <si>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</si>
  <si>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</si>
  <si>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</si>
  <si>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</si>
  <si>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</si>
  <si>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</si>
  <si>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</si>
  <si>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</si>
  <si>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</si>
  <si>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</si>
  <si>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</si>
  <si>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</si>
  <si>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</si>
  <si>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</si>
  <si>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</si>
  <si>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</si>
  <si>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</si>
  <si>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</si>
  <si>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</si>
  <si>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</si>
  <si>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</si>
  <si>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</si>
  <si>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</si>
  <si>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</si>
  <si>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</si>
  <si>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</si>
  <si>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</si>
  <si>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</si>
  <si>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</si>
  <si>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</si>
  <si>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</si>
  <si>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</si>
  <si>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</si>
  <si>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</si>
  <si>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</si>
  <si>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</si>
  <si>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</si>
  <si>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</si>
  <si>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</si>
  <si>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</si>
  <si>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</si>
  <si>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</si>
  <si>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</si>
  <si>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</si>
  <si>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</si>
  <si>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</si>
  <si>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</si>
  <si>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</si>
  <si>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</si>
  <si>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</si>
  <si>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</si>
  <si>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</si>
  <si>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</si>
  <si>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</si>
  <si>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</si>
  <si>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</si>
  <si>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</si>
  <si>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</si>
  <si>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</si>
  <si>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</si>
  <si>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</si>
  <si>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</si>
  <si>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</si>
  <si>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</si>
  <si>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</si>
  <si>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</si>
  <si>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</si>
  <si>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</si>
  <si>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</si>
  <si>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</si>
  <si>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</si>
  <si>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</si>
  <si>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</si>
  <si>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</si>
  <si>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</si>
  <si>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</si>
  <si>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</si>
  <si>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</si>
  <si>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</si>
  <si>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</si>
  <si>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</si>
  <si>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</si>
  <si>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</si>
  <si>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</si>
  <si>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</si>
  <si>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</si>
  <si>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</si>
  <si>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</si>
  <si>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</si>
  <si>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</si>
  <si>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</si>
  <si>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</si>
  <si>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</si>
  <si>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</si>
  <si>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</si>
  <si>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</si>
  <si>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</si>
  <si>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</si>
  <si>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</si>
  <si>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</si>
  <si>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</si>
  <si>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</si>
  <si>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</si>
  <si>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</si>
  <si>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</si>
  <si>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</si>
  <si>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</si>
  <si>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</si>
  <si>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</si>
  <si>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</si>
  <si>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</si>
  <si>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</si>
  <si>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</si>
  <si>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</si>
  <si>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</si>
  <si>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</si>
  <si>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</si>
  <si>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</si>
  <si>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</si>
  <si>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</si>
  <si>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</si>
  <si>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</si>
  <si>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</si>
  <si>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</si>
  <si>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</si>
  <si>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</si>
  <si>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</si>
  <si>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</si>
  <si>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</si>
  <si>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</si>
  <si>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</si>
  <si>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</si>
  <si>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</si>
  <si>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</si>
  <si>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</si>
  <si>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</si>
  <si>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</si>
  <si>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</si>
  <si>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</si>
  <si>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</si>
  <si>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</si>
  <si>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</si>
  <si>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</si>
  <si>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</si>
  <si>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</si>
  <si>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</si>
  <si>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</si>
  <si>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</si>
  <si>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</si>
  <si>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</si>
  <si>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</si>
  <si>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</si>
  <si>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</si>
  <si>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</si>
  <si>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</si>
  <si>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</si>
  <si>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</si>
  <si>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</si>
  <si>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</si>
  <si>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</si>
  <si>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</si>
  <si>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</si>
  <si>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</si>
  <si>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</si>
  <si>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</si>
  <si>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</si>
  <si>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</si>
  <si>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</si>
  <si>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</si>
  <si>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</si>
  <si>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</si>
  <si>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</si>
  <si>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</si>
  <si>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</si>
  <si>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</si>
  <si>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</si>
  <si>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</si>
  <si>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</si>
  <si>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</si>
  <si>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</si>
  <si>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</si>
  <si>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</si>
  <si>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</si>
  <si>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</si>
  <si>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</si>
  <si>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</si>
  <si>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</si>
  <si>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</si>
  <si>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</si>
  <si>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</si>
  <si>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</si>
  <si>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</si>
  <si>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</si>
  <si>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</si>
  <si>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</si>
  <si>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</si>
  <si>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</si>
  <si>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</si>
  <si>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</si>
  <si>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</si>
  <si>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</si>
  <si>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</si>
  <si>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</si>
  <si>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</si>
  <si>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</si>
  <si>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</si>
  <si>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</si>
  <si>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</si>
  <si>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</si>
  <si>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</si>
  <si>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</si>
  <si>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</si>
  <si>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</si>
  <si>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</si>
  <si>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</si>
  <si>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</si>
  <si>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</si>
  <si>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</si>
  <si>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</si>
  <si>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</si>
  <si>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</si>
  <si>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</si>
  <si>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</si>
  <si>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</si>
  <si>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</si>
  <si>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</si>
  <si>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</si>
  <si>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</si>
  <si>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</si>
  <si>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</si>
  <si>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</si>
  <si>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</si>
  <si>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</si>
  <si>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</si>
  <si>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</si>
  <si>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</si>
  <si>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</si>
  <si>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</si>
  <si>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</si>
  <si>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</si>
  <si>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</si>
  <si>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</si>
  <si>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</si>
  <si>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</si>
  <si>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</si>
  <si>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</si>
  <si>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</si>
  <si>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</si>
  <si>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</si>
  <si>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</si>
  <si>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</si>
  <si>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</si>
  <si>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</si>
  <si>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</si>
  <si>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</si>
  <si>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</si>
  <si>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</si>
  <si>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</si>
  <si>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</si>
  <si>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</si>
  <si>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</si>
  <si>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</si>
  <si>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</si>
  <si>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</si>
  <si>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</si>
  <si>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</si>
  <si>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</si>
  <si>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</si>
  <si>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</si>
  <si>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</si>
  <si>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</si>
  <si>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</si>
  <si>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</si>
  <si>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</si>
  <si>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</si>
  <si>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</si>
  <si>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</si>
  <si>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</si>
  <si>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</si>
  <si>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</si>
  <si>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</si>
  <si>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</si>
  <si>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</si>
  <si>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</si>
  <si>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</si>
  <si>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</si>
  <si>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</si>
  <si>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</si>
  <si>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</si>
  <si>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</si>
  <si>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</si>
  <si>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</si>
  <si>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</si>
  <si>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</si>
  <si>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</si>
  <si>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</si>
  <si>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</si>
  <si>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</si>
  <si>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</si>
  <si>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</si>
  <si>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</si>
  <si>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</si>
  <si>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</si>
  <si>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</si>
  <si>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</si>
  <si>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</si>
  <si>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</si>
  <si>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</si>
  <si>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</si>
  <si>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</si>
  <si>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</si>
  <si>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</si>
  <si>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</si>
  <si>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</si>
  <si>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</si>
  <si>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</si>
  <si>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</si>
  <si>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</si>
  <si>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</si>
  <si>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</si>
  <si>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</si>
  <si>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</si>
  <si>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</si>
  <si>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</si>
  <si>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</si>
  <si>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</si>
  <si>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</si>
  <si>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</si>
  <si>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</si>
  <si>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</si>
  <si>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</si>
  <si>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</si>
  <si>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</si>
  <si>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</si>
  <si>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</si>
  <si>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</si>
  <si>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</si>
  <si>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</si>
  <si>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</si>
  <si>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</si>
  <si>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</si>
  <si>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</si>
  <si>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</si>
  <si>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</si>
  <si>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</si>
  <si>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</si>
  <si>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</si>
  <si>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</si>
  <si>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</si>
  <si>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</si>
  <si>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</si>
  <si>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</si>
  <si>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</si>
  <si>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</si>
  <si>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</si>
  <si>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</si>
  <si>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</si>
  <si>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</si>
  <si>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</si>
  <si>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</si>
  <si>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</si>
  <si>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CASTILLA-LA MANCHA</t>
  </si>
  <si>
    <t>Provincias</t>
  </si>
  <si>
    <t>CIUDAD REAL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</si>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</sst>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u5spfoZM5J1P9bPNK+pMybzeJ8Ql4RAeTtCACrbBCAs5sM+luPOSeKv1wea+LCw2Q3Xrt08R17+9Xtwu7dLyA==" saltValue="lizURaprL87p6dJBjajo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70</v>
      </c>
      <c r="D10" s="225">
        <f>IF(ISNUMBER(Datos!I10),Datos!I10," - ")</f>
        <v>102</v>
      </c>
      <c r="E10" s="226">
        <f>IF(ISNUMBER(Datos!J10),Datos!J10," - ")</f>
        <v>51</v>
      </c>
      <c r="F10" s="226">
        <f>IF(ISNUMBER(Datos!K10),Datos!K10," - ")</f>
        <v>49</v>
      </c>
      <c r="G10" s="1034" t="str">
        <f>IF(Datos!E10&lt;&gt;"",Datos!E10,Datos!D10)</f>
        <v>37</v>
      </c>
      <c r="H10" s="227">
        <f>IF(ISNUMBER(Datos!L10),Datos!L10," - ")</f>
        <v>72</v>
      </c>
      <c r="I10" s="1044" t="str">
        <f>IF(ISNUMBER(Datos!AS10/Datos!BM10),Datos!AS10/Datos!BM10," - ")</f>
        <v xml:space="preserve"> - </v>
      </c>
      <c r="J10" s="1045">
        <f>IF(ISNUMBER(Datos!BY10/Datos!CN10),Datos!BY10/Datos!CN10," - ")</f>
        <v>0</v>
      </c>
      <c r="K10" s="230">
        <f t="shared" ref="K10:K12" si="1">IF(ISNUMBER((E10-F10)/C10),(E10-F10)/C10," - ")</f>
        <v>2.8571428571428571E-2</v>
      </c>
      <c r="L10" s="1025">
        <f>IF(ISNUMBER(NºAsuntos!I10/NºAsuntos!G10),(NºAsuntos!I10/NºAsuntos!G10)*11," - ")</f>
        <v>16.163265306122451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9.2380840296575251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70</v>
      </c>
      <c r="D13" s="1049">
        <f>SUBTOTAL(9,D9:D12)</f>
        <v>102</v>
      </c>
      <c r="E13" s="1050">
        <f>SUBTOTAL(9,E9:E12)</f>
        <v>51</v>
      </c>
      <c r="F13" s="1051">
        <f>SUBTOTAL(9,F9:F12)</f>
        <v>49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7</v>
      </c>
      <c r="B16" s="502" t="str">
        <f>Datos!A16</f>
        <v xml:space="preserve">Jdos. 1ª Instª. e Instr.                        </v>
      </c>
      <c r="C16" s="225">
        <f t="shared" si="2"/>
        <v>3008</v>
      </c>
      <c r="D16" s="225">
        <f>IF(ISNUMBER(IF(D_I="SI",Datos!I16,Datos!I16+Datos!AC16)),IF(D_I="SI",Datos!I16,Datos!I16+Datos!AC16)," - ")</f>
        <v>2979</v>
      </c>
      <c r="E16" s="226">
        <f>IF(ISNUMBER(IF(D_I="SI",Datos!J16,Datos!J16+Datos!AD16)),IF(D_I="SI",Datos!J16,Datos!J16+Datos!AD16)," - ")</f>
        <v>7836</v>
      </c>
      <c r="F16" s="226">
        <f>IF(ISNUMBER(IF(D_I="SI",Datos!K16,Datos!K16+Datos!AE16)),IF(D_I="SI",Datos!K16,Datos!K16+Datos!AE16)," - ")</f>
        <v>8406</v>
      </c>
      <c r="G16" s="1034" t="str">
        <f>IF(Datos!E16&lt;&gt;"",Datos!E16,Datos!D16)</f>
        <v>04</v>
      </c>
      <c r="H16" s="227">
        <f>IF(ISNUMBER(IF(D_I="SI",Datos!L16,Datos!L16+Datos!AF16)),IF(D_I="SI",Datos!L16,Datos!L16+Datos!AF16)," - ")</f>
        <v>2438</v>
      </c>
      <c r="I16" s="1044" t="str">
        <f>IF(ISNUMBER(Datos!AS16/Datos!BM16),Datos!AS16/Datos!BM16," - ")</f>
        <v xml:space="preserve"> - </v>
      </c>
      <c r="J16" s="1045">
        <f>IF(ISNUMBER(Datos!BY16/Datos!CN16),Datos!BY16/Datos!CN16," - ")</f>
        <v>0</v>
      </c>
      <c r="K16" s="230">
        <f t="shared" si="3"/>
        <v>-0.18949468085106383</v>
      </c>
      <c r="L16" s="1025">
        <f>IF(ISNUMBER(NºAsuntos!I16/NºAsuntos!G16),(NºAsuntos!I16/NºAsuntos!G16)*11," - ")</f>
        <v>3.1903402331667858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146</v>
      </c>
      <c r="D17" s="225">
        <f>IF(ISNUMBER(IF(D_I="SI",Datos!I17,Datos!I17+Datos!AC17)),IF(D_I="SI",Datos!I17,Datos!I17+Datos!AC17)," - ")</f>
        <v>251</v>
      </c>
      <c r="E17" s="226">
        <f>IF(ISNUMBER(IF(D_I="SI",Datos!J17,Datos!J17+Datos!AD17)),IF(D_I="SI",Datos!J17,Datos!J17+Datos!AD17)," - ")</f>
        <v>719</v>
      </c>
      <c r="F17" s="226">
        <f>IF(ISNUMBER(IF(D_I="SI",Datos!K17,Datos!K17+Datos!AE17)),IF(D_I="SI",Datos!K17,Datos!K17+Datos!AE17)," - ")</f>
        <v>686</v>
      </c>
      <c r="G17" s="1034" t="str">
        <f>IF(Datos!E17&lt;&gt;"",Datos!E17,Datos!D17)</f>
        <v>37</v>
      </c>
      <c r="H17" s="227">
        <f>IF(ISNUMBER(IF(D_I="SI",Datos!L17,Datos!L17+Datos!AF17)),IF(D_I="SI",Datos!L17,Datos!L17+Datos!AF17)," - ")</f>
        <v>179</v>
      </c>
      <c r="I17" s="1044" t="str">
        <f>IF(ISNUMBER(Datos!AS17/Datos!BM17),Datos!AS17/Datos!BM17," - ")</f>
        <v xml:space="preserve"> - </v>
      </c>
      <c r="J17" s="1045" t="str">
        <f>IF(ISNUMBER((Datos!BY17+Datos!BZ17)/Datos!CN17),(Datos!BY17+Datos!BZ17)/Datos!CN17," - ")</f>
        <v xml:space="preserve"> - </v>
      </c>
      <c r="K17" s="230">
        <f t="shared" si="3"/>
        <v>0.22602739726027396</v>
      </c>
      <c r="L17" s="1025">
        <f>IF(ISNUMBER(NºAsuntos!I17/NºAsuntos!G17),(NºAsuntos!I17/NºAsuntos!G17)*11," - ")</f>
        <v>2.8702623906705536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3154</v>
      </c>
      <c r="D18" s="1049">
        <f>SUBTOTAL(9,D15:D17)</f>
        <v>3230</v>
      </c>
      <c r="E18" s="1050">
        <f>SUBTOTAL(9,E15:E17)</f>
        <v>8555</v>
      </c>
      <c r="F18" s="1050">
        <f>SUBTOTAL(9,F15:F17)</f>
        <v>9092</v>
      </c>
      <c r="G18" s="1052" t="str">
        <f ca="1">INDIRECT(CONCATENATE("G",ROW()-1))</f>
        <v>37</v>
      </c>
      <c r="H18" s="1053">
        <f ca="1">SUMIF(G$14:G17,G18,H$14:H17)</f>
        <v>179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3224</v>
      </c>
      <c r="D19" s="1071">
        <f>SUBTOTAL(9,D9:D18)</f>
        <v>3332</v>
      </c>
      <c r="E19" s="1072">
        <f>SUBTOTAL(9,E9:E18)</f>
        <v>8606</v>
      </c>
      <c r="F19" s="1072">
        <f>SUBTOTAL(9,F9:F18)</f>
        <v>9141</v>
      </c>
      <c r="G19" s="1073"/>
      <c r="H19" s="1074">
        <f ca="1">SUMIF(B9:B18,"TOTAL",H9:H18)</f>
        <v>179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ZoadelS4Ie0ZntcTWgkwBJI2Foi8rHq0Xy1/wOJAENAlnLCKIMk1ZJsHapcSgo4yVIluHbPjmZbl8GTJUY12/Q==" saltValue="0m64ytIRh4DLWyltHJzy+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8rf1Fn5GrDx8JrlHgsuwf07TF6neMvFWjS+Ifp/A9ekNOQp4Ze9aXqrD4Jw6fECG20euF7NenCQ46Q4CJeIjA==" saltValue="Ss2jycs/xHXVC1oPiCEe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102</v>
      </c>
      <c r="J10" s="181">
        <v>51</v>
      </c>
      <c r="K10" s="181">
        <v>49</v>
      </c>
      <c r="L10" s="181">
        <v>72</v>
      </c>
      <c r="M10" s="181">
        <v>28</v>
      </c>
      <c r="N10" s="181">
        <v>14</v>
      </c>
      <c r="O10" s="181">
        <v>3</v>
      </c>
      <c r="P10" s="181">
        <v>2</v>
      </c>
      <c r="Q10" s="181">
        <v>6</v>
      </c>
      <c r="R10" s="181">
        <v>34</v>
      </c>
      <c r="S10" s="181">
        <v>111</v>
      </c>
      <c r="T10" s="181">
        <v>24</v>
      </c>
      <c r="U10" s="181">
        <v>33</v>
      </c>
      <c r="V10" s="181">
        <v>102</v>
      </c>
      <c r="W10" s="181">
        <v>28</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111</v>
      </c>
      <c r="AZ10" s="129">
        <f t="shared" si="0"/>
        <v>24</v>
      </c>
      <c r="BA10" s="129">
        <f t="shared" si="0"/>
        <v>33</v>
      </c>
      <c r="BB10" s="129">
        <f t="shared" si="0"/>
        <v>102</v>
      </c>
      <c r="BC10" s="125">
        <f t="shared" si="0"/>
        <v>28</v>
      </c>
      <c r="BD10" s="126">
        <f>IF(ISNUMBER(BA10/AZ10),BA10/AZ10," - ")</f>
        <v>1.375</v>
      </c>
      <c r="BE10" s="127">
        <f>IF(ISNUMBER(BB10/BA10),BB10/BA10, " - ")</f>
        <v>3.0909090909090908</v>
      </c>
      <c r="BF10" s="127">
        <f>IF(ISNUMBER(BC10/BA10),BC10/BA10, " - ")</f>
        <v>0.84848484848484851</v>
      </c>
      <c r="BG10" s="196">
        <f>IF(ISNUMBER((AY10+AZ10)/BA10),(AY10+AZ10)/BA10," - ")</f>
        <v>4.0909090909090908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8276</v>
      </c>
      <c r="J12" s="183">
        <v>6630</v>
      </c>
      <c r="K12" s="183">
        <v>7613</v>
      </c>
      <c r="L12" s="183">
        <v>6979</v>
      </c>
      <c r="M12" s="183">
        <v>2695</v>
      </c>
      <c r="N12" s="183">
        <v>3497</v>
      </c>
      <c r="O12" s="181">
        <v>3247</v>
      </c>
      <c r="P12" s="183">
        <v>1627</v>
      </c>
      <c r="Q12" s="183">
        <v>2635</v>
      </c>
      <c r="R12" s="183">
        <v>7440</v>
      </c>
      <c r="S12" s="183">
        <v>7395</v>
      </c>
      <c r="T12" s="183">
        <v>6283</v>
      </c>
      <c r="U12" s="183">
        <v>5402</v>
      </c>
      <c r="V12" s="183">
        <v>8276</v>
      </c>
      <c r="W12" s="183">
        <v>2046</v>
      </c>
      <c r="X12" s="189">
        <v>2269</v>
      </c>
      <c r="Y12" s="191">
        <v>191</v>
      </c>
      <c r="Z12" s="181">
        <v>878</v>
      </c>
      <c r="AA12" s="181">
        <v>884</v>
      </c>
      <c r="AB12" s="181">
        <v>157</v>
      </c>
      <c r="AC12" s="183">
        <v>0</v>
      </c>
      <c r="AD12" s="183">
        <v>0</v>
      </c>
      <c r="AE12" s="183">
        <v>0</v>
      </c>
      <c r="AF12" s="189">
        <v>0</v>
      </c>
      <c r="AG12" s="202">
        <v>214</v>
      </c>
      <c r="AH12" s="183">
        <v>828</v>
      </c>
      <c r="AI12" s="183">
        <v>851</v>
      </c>
      <c r="AJ12" s="203">
        <v>191</v>
      </c>
      <c r="AK12" s="182">
        <v>0</v>
      </c>
      <c r="AL12" s="183">
        <v>0</v>
      </c>
      <c r="AM12" s="183">
        <v>0</v>
      </c>
      <c r="AN12" s="189">
        <v>0</v>
      </c>
      <c r="AO12" s="259">
        <v>7</v>
      </c>
      <c r="AP12" s="155">
        <v>7</v>
      </c>
      <c r="AQ12" s="155">
        <v>7</v>
      </c>
      <c r="AR12" s="154">
        <v>7</v>
      </c>
      <c r="AS12" s="340" t="s">
        <v>802</v>
      </c>
      <c r="AT12" s="203"/>
      <c r="AU12" s="202"/>
      <c r="AV12" s="203"/>
      <c r="AW12" s="202"/>
      <c r="AX12" s="203"/>
      <c r="AY12" s="126">
        <f t="shared" si="1"/>
        <v>7609</v>
      </c>
      <c r="AZ12" s="127">
        <f t="shared" si="1"/>
        <v>7111</v>
      </c>
      <c r="BA12" s="127">
        <f t="shared" si="1"/>
        <v>6253</v>
      </c>
      <c r="BB12" s="127">
        <f t="shared" si="1"/>
        <v>8467</v>
      </c>
      <c r="BC12" s="125">
        <f>IF(ISNUMBER(X12),X12," - ")</f>
        <v>2269</v>
      </c>
      <c r="BD12" s="126">
        <f t="shared" si="2"/>
        <v>0.87934186471663622</v>
      </c>
      <c r="BE12" s="127">
        <f t="shared" si="3"/>
        <v>1.3540700463777386</v>
      </c>
      <c r="BF12" s="127">
        <f t="shared" si="4"/>
        <v>0.36286582440428594</v>
      </c>
      <c r="BG12" s="196">
        <f t="shared" si="5"/>
        <v>2.3540700463777386</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8378</v>
      </c>
      <c r="J13" s="184">
        <f t="shared" si="6"/>
        <v>6681</v>
      </c>
      <c r="K13" s="184">
        <f t="shared" si="6"/>
        <v>7662</v>
      </c>
      <c r="L13" s="184">
        <f t="shared" si="6"/>
        <v>7051</v>
      </c>
      <c r="M13" s="184">
        <f t="shared" si="6"/>
        <v>2723</v>
      </c>
      <c r="N13" s="184">
        <f t="shared" si="6"/>
        <v>3511</v>
      </c>
      <c r="O13" s="184">
        <f t="shared" si="6"/>
        <v>3250</v>
      </c>
      <c r="P13" s="184">
        <f t="shared" si="6"/>
        <v>1629</v>
      </c>
      <c r="Q13" s="184">
        <f t="shared" si="6"/>
        <v>2641</v>
      </c>
      <c r="R13" s="184">
        <f t="shared" si="6"/>
        <v>7474</v>
      </c>
      <c r="S13" s="184">
        <f t="shared" si="6"/>
        <v>7506</v>
      </c>
      <c r="T13" s="184">
        <f t="shared" si="6"/>
        <v>6307</v>
      </c>
      <c r="U13" s="184">
        <f t="shared" si="6"/>
        <v>5435</v>
      </c>
      <c r="V13" s="184">
        <f t="shared" si="6"/>
        <v>8378</v>
      </c>
      <c r="W13" s="184">
        <f t="shared" si="6"/>
        <v>2074</v>
      </c>
      <c r="X13" s="184">
        <f t="shared" si="6"/>
        <v>2272</v>
      </c>
      <c r="Y13" s="184">
        <f t="shared" si="6"/>
        <v>191</v>
      </c>
      <c r="Z13" s="184">
        <f t="shared" si="6"/>
        <v>878</v>
      </c>
      <c r="AA13" s="184">
        <f t="shared" si="6"/>
        <v>884</v>
      </c>
      <c r="AB13" s="184">
        <f t="shared" si="6"/>
        <v>157</v>
      </c>
      <c r="AC13" s="184">
        <f t="shared" si="6"/>
        <v>0</v>
      </c>
      <c r="AD13" s="184">
        <f t="shared" si="6"/>
        <v>0</v>
      </c>
      <c r="AE13" s="184">
        <f t="shared" si="6"/>
        <v>0</v>
      </c>
      <c r="AF13" s="184">
        <f>SUBTOTAL(9,AF9:AF12)</f>
        <v>0</v>
      </c>
      <c r="AG13" s="184">
        <f t="shared" ref="AG13:AT13" si="7">SUBTOTAL(9,AG8:AG12)</f>
        <v>214</v>
      </c>
      <c r="AH13" s="184">
        <f t="shared" si="7"/>
        <v>828</v>
      </c>
      <c r="AI13" s="184">
        <f t="shared" si="7"/>
        <v>851</v>
      </c>
      <c r="AJ13" s="184">
        <f t="shared" si="7"/>
        <v>191</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7720</v>
      </c>
      <c r="AZ13" s="184">
        <f>SUBTOTAL(9,AZ8:AZ12)</f>
        <v>7135</v>
      </c>
      <c r="BA13" s="184">
        <f>SUBTOTAL(9,BA8:BA12)</f>
        <v>6286</v>
      </c>
      <c r="BB13" s="184">
        <f>SUBTOTAL(9,BB8:BB12)</f>
        <v>8569</v>
      </c>
      <c r="BC13" s="184">
        <f>SUBTOTAL(9,BC8:BC12)</f>
        <v>2297</v>
      </c>
      <c r="BD13" s="205">
        <f>IF(ISNUMBER(BA13/AZ13),BA13/AZ13," - ")</f>
        <v>0.88100911002102311</v>
      </c>
      <c r="BE13" s="206">
        <f>IF(ISNUMBER(BB13/BA13),BB13/BA13, " - ")</f>
        <v>1.3631880369074132</v>
      </c>
      <c r="BF13" s="206">
        <f>IF(ISNUMBER(BC13/BA13),BC13/BA13, " - ")</f>
        <v>0.36541520839961822</v>
      </c>
      <c r="BG13" s="207">
        <f>IF(ISNUMBER((AY13+AZ13)/BA13),(AY13+AZ13)/BA13," - ")</f>
        <v>2.3631880369074132</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2979</v>
      </c>
      <c r="J16" s="183">
        <v>7836</v>
      </c>
      <c r="K16" s="183">
        <v>8406</v>
      </c>
      <c r="L16" s="183">
        <v>2438</v>
      </c>
      <c r="M16" s="183">
        <v>1173</v>
      </c>
      <c r="N16" s="183">
        <v>4406</v>
      </c>
      <c r="O16" s="181">
        <v>268</v>
      </c>
      <c r="P16" s="183">
        <v>526</v>
      </c>
      <c r="Q16" s="183">
        <v>421</v>
      </c>
      <c r="R16" s="183">
        <v>478</v>
      </c>
      <c r="S16" s="183">
        <v>2401</v>
      </c>
      <c r="T16" s="183">
        <v>7154</v>
      </c>
      <c r="U16" s="183">
        <v>6161</v>
      </c>
      <c r="V16" s="183">
        <v>2979</v>
      </c>
      <c r="W16" s="183">
        <v>927</v>
      </c>
      <c r="X16" s="189">
        <v>3296</v>
      </c>
      <c r="Y16" s="202">
        <v>0</v>
      </c>
      <c r="Z16" s="183">
        <v>0</v>
      </c>
      <c r="AA16" s="183">
        <v>0</v>
      </c>
      <c r="AB16" s="183">
        <v>0</v>
      </c>
      <c r="AC16" s="183">
        <v>3</v>
      </c>
      <c r="AD16" s="183">
        <v>57</v>
      </c>
      <c r="AE16" s="183">
        <v>53</v>
      </c>
      <c r="AF16" s="189">
        <v>7</v>
      </c>
      <c r="AG16" s="202">
        <v>0</v>
      </c>
      <c r="AH16" s="183">
        <v>0</v>
      </c>
      <c r="AI16" s="183">
        <v>0</v>
      </c>
      <c r="AJ16" s="203">
        <v>0</v>
      </c>
      <c r="AK16" s="182">
        <v>0</v>
      </c>
      <c r="AL16" s="183">
        <v>72</v>
      </c>
      <c r="AM16" s="183">
        <v>69</v>
      </c>
      <c r="AN16" s="189">
        <v>3</v>
      </c>
      <c r="AO16" s="259">
        <v>7</v>
      </c>
      <c r="AP16" s="155">
        <v>7</v>
      </c>
      <c r="AQ16" s="155">
        <v>7</v>
      </c>
      <c r="AR16" s="155">
        <v>7</v>
      </c>
      <c r="AS16" s="340" t="s">
        <v>487</v>
      </c>
      <c r="AT16" s="203"/>
      <c r="AU16" s="202"/>
      <c r="AV16" s="203"/>
      <c r="AW16" s="202"/>
      <c r="AX16" s="203"/>
      <c r="AY16" s="126">
        <f t="shared" si="9"/>
        <v>2401</v>
      </c>
      <c r="AZ16" s="127">
        <f t="shared" si="9"/>
        <v>7154</v>
      </c>
      <c r="BA16" s="127">
        <f t="shared" si="9"/>
        <v>6161</v>
      </c>
      <c r="BB16" s="127">
        <f t="shared" si="9"/>
        <v>2979</v>
      </c>
      <c r="BC16" s="125">
        <f>IF(ISNUMBER(W16),W16," - ")</f>
        <v>927</v>
      </c>
      <c r="BD16" s="126">
        <f t="shared" ref="BD16" si="11">IF(ISNUMBER(BA16/AZ16),BA16/AZ16," - ")</f>
        <v>0.86119653340788371</v>
      </c>
      <c r="BE16" s="127">
        <f t="shared" ref="BE16" si="12">IF(ISNUMBER(BB16/BA16),BB16/BA16, " - ")</f>
        <v>0.4835254017204999</v>
      </c>
      <c r="BF16" s="127">
        <f t="shared" ref="BF16" si="13">IF(ISNUMBER(BC16/BA16),BC16/BA16, " - ")</f>
        <v>0.1504625872423308</v>
      </c>
      <c r="BG16" s="196">
        <f t="shared" si="10"/>
        <v>1.5508845966563869</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251</v>
      </c>
      <c r="J17" s="183">
        <v>719</v>
      </c>
      <c r="K17" s="183">
        <v>686</v>
      </c>
      <c r="L17" s="183">
        <v>179</v>
      </c>
      <c r="M17" s="183">
        <v>104</v>
      </c>
      <c r="N17" s="183">
        <v>485</v>
      </c>
      <c r="O17" s="183">
        <v>3</v>
      </c>
      <c r="P17" s="183">
        <v>8</v>
      </c>
      <c r="Q17" s="183">
        <v>8</v>
      </c>
      <c r="R17" s="183">
        <v>12</v>
      </c>
      <c r="S17" s="183">
        <v>482</v>
      </c>
      <c r="T17" s="183">
        <v>739</v>
      </c>
      <c r="U17" s="183">
        <v>788</v>
      </c>
      <c r="V17" s="183">
        <v>251</v>
      </c>
      <c r="W17" s="183">
        <v>106</v>
      </c>
      <c r="X17" s="189">
        <v>460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482</v>
      </c>
      <c r="AZ17" s="129">
        <f t="shared" si="14"/>
        <v>739</v>
      </c>
      <c r="BA17" s="129">
        <f t="shared" si="14"/>
        <v>788</v>
      </c>
      <c r="BB17" s="129">
        <f t="shared" si="14"/>
        <v>251</v>
      </c>
      <c r="BC17" s="125">
        <f>IF(ISNUMBER(W17),W17," - ")</f>
        <v>106</v>
      </c>
      <c r="BD17" s="126">
        <f>IF(ISNUMBER(BA17/AZ17),BA17/AZ17," - ")</f>
        <v>1.0663058186738836</v>
      </c>
      <c r="BE17" s="127">
        <f>IF(ISNUMBER(BB17/BA17),BB17/BA17, " - ")</f>
        <v>0.31852791878172587</v>
      </c>
      <c r="BF17" s="127">
        <f>IF(ISNUMBER(BC17/BA17),BC17/BA17, " - ")</f>
        <v>0.13451776649746192</v>
      </c>
      <c r="BG17" s="196">
        <f>IF(ISNUMBER((AY17+AZ17)/BA17),(AY17+AZ17)/BA17," - ")</f>
        <v>1.5494923857868019</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3230</v>
      </c>
      <c r="J18" s="184">
        <f t="shared" si="15"/>
        <v>8555</v>
      </c>
      <c r="K18" s="184">
        <f t="shared" si="15"/>
        <v>9092</v>
      </c>
      <c r="L18" s="184">
        <f t="shared" si="15"/>
        <v>2617</v>
      </c>
      <c r="M18" s="184">
        <f t="shared" si="15"/>
        <v>1277</v>
      </c>
      <c r="N18" s="184">
        <f t="shared" si="15"/>
        <v>4891</v>
      </c>
      <c r="O18" s="184">
        <f t="shared" si="15"/>
        <v>271</v>
      </c>
      <c r="P18" s="184">
        <f t="shared" si="15"/>
        <v>534</v>
      </c>
      <c r="Q18" s="184">
        <f t="shared" si="15"/>
        <v>429</v>
      </c>
      <c r="R18" s="184">
        <f t="shared" si="15"/>
        <v>490</v>
      </c>
      <c r="S18" s="184">
        <f t="shared" si="15"/>
        <v>2883</v>
      </c>
      <c r="T18" s="184">
        <f t="shared" si="15"/>
        <v>7893</v>
      </c>
      <c r="U18" s="184">
        <f t="shared" si="15"/>
        <v>6949</v>
      </c>
      <c r="V18" s="184">
        <f t="shared" si="15"/>
        <v>3230</v>
      </c>
      <c r="W18" s="184">
        <f t="shared" si="15"/>
        <v>1033</v>
      </c>
      <c r="X18" s="184">
        <f t="shared" si="15"/>
        <v>3756</v>
      </c>
      <c r="Y18" s="184">
        <f t="shared" si="15"/>
        <v>0</v>
      </c>
      <c r="Z18" s="184">
        <f t="shared" si="15"/>
        <v>0</v>
      </c>
      <c r="AA18" s="184">
        <f t="shared" si="15"/>
        <v>0</v>
      </c>
      <c r="AB18" s="184">
        <f t="shared" si="15"/>
        <v>0</v>
      </c>
      <c r="AC18" s="184">
        <f t="shared" si="15"/>
        <v>3</v>
      </c>
      <c r="AD18" s="184">
        <f t="shared" si="15"/>
        <v>57</v>
      </c>
      <c r="AE18" s="184">
        <f t="shared" si="15"/>
        <v>53</v>
      </c>
      <c r="AF18" s="184">
        <f t="shared" si="15"/>
        <v>7</v>
      </c>
      <c r="AG18" s="184">
        <f t="shared" si="15"/>
        <v>0</v>
      </c>
      <c r="AH18" s="184">
        <f t="shared" si="15"/>
        <v>0</v>
      </c>
      <c r="AI18" s="184">
        <f t="shared" si="15"/>
        <v>0</v>
      </c>
      <c r="AJ18" s="184">
        <f t="shared" si="15"/>
        <v>0</v>
      </c>
      <c r="AK18" s="184">
        <f t="shared" si="15"/>
        <v>0</v>
      </c>
      <c r="AL18" s="184">
        <f t="shared" si="15"/>
        <v>72</v>
      </c>
      <c r="AM18" s="184">
        <f t="shared" si="15"/>
        <v>69</v>
      </c>
      <c r="AN18" s="184">
        <f t="shared" si="15"/>
        <v>3</v>
      </c>
      <c r="AO18" s="184">
        <f t="shared" si="15"/>
        <v>8</v>
      </c>
      <c r="AP18" s="184">
        <f t="shared" si="15"/>
        <v>7</v>
      </c>
      <c r="AQ18" s="184">
        <f t="shared" si="15"/>
        <v>7</v>
      </c>
      <c r="AR18" s="184">
        <f t="shared" si="15"/>
        <v>7</v>
      </c>
      <c r="AS18" s="184">
        <f t="shared" si="15"/>
        <v>0</v>
      </c>
      <c r="AT18" s="184">
        <f t="shared" si="15"/>
        <v>0</v>
      </c>
      <c r="AU18" s="204"/>
      <c r="AV18" s="132"/>
      <c r="AW18" s="204"/>
      <c r="AX18" s="132"/>
      <c r="AY18" s="184">
        <f>SUBTOTAL(9,AY14:AY17)</f>
        <v>2883</v>
      </c>
      <c r="AZ18" s="184">
        <f>SUBTOTAL(9,AZ14:AZ17)</f>
        <v>7893</v>
      </c>
      <c r="BA18" s="184">
        <f>SUBTOTAL(9,BA14:BA17)</f>
        <v>6949</v>
      </c>
      <c r="BB18" s="184">
        <f>SUBTOTAL(9,BB14:BB17)</f>
        <v>3230</v>
      </c>
      <c r="BC18" s="184">
        <f>SUBTOTAL(9,BC14:BC17)</f>
        <v>1033</v>
      </c>
      <c r="BD18" s="205">
        <f>IF(ISNUMBER(BA18/AZ18),BA18/AZ18," - ")</f>
        <v>0.88040035474471046</v>
      </c>
      <c r="BE18" s="206">
        <f>IF(ISNUMBER(BB18/BA18),BB18/BA18, " - ")</f>
        <v>0.46481508130666283</v>
      </c>
      <c r="BF18" s="206">
        <f>IF(ISNUMBER(BC18/BA18),BC18/BA18, " - ")</f>
        <v>0.14865448265937545</v>
      </c>
      <c r="BG18" s="207">
        <f>IF(ISNUMBER((AY18+AZ18)/BA18),(AY18+AZ18)/BA18," - ")</f>
        <v>1.5507267232695352</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11608</v>
      </c>
      <c r="J19" s="134">
        <f t="shared" si="18"/>
        <v>15236</v>
      </c>
      <c r="K19" s="134">
        <f t="shared" si="18"/>
        <v>16754</v>
      </c>
      <c r="L19" s="134">
        <f t="shared" si="18"/>
        <v>9668</v>
      </c>
      <c r="M19" s="134">
        <f t="shared" si="18"/>
        <v>4000</v>
      </c>
      <c r="N19" s="134">
        <f t="shared" si="18"/>
        <v>8402</v>
      </c>
      <c r="O19" s="134">
        <f t="shared" si="18"/>
        <v>3521</v>
      </c>
      <c r="P19" s="134">
        <f t="shared" si="18"/>
        <v>2163</v>
      </c>
      <c r="Q19" s="134">
        <f t="shared" si="18"/>
        <v>3070</v>
      </c>
      <c r="R19" s="134">
        <f t="shared" si="18"/>
        <v>7964</v>
      </c>
      <c r="S19" s="134">
        <f t="shared" si="18"/>
        <v>10389</v>
      </c>
      <c r="T19" s="134">
        <f t="shared" si="18"/>
        <v>14200</v>
      </c>
      <c r="U19" s="134">
        <f t="shared" si="18"/>
        <v>12384</v>
      </c>
      <c r="V19" s="134">
        <f t="shared" si="18"/>
        <v>11608</v>
      </c>
      <c r="W19" s="134">
        <f t="shared" si="18"/>
        <v>3107</v>
      </c>
      <c r="X19" s="134">
        <f t="shared" si="18"/>
        <v>6028</v>
      </c>
      <c r="Y19" s="134">
        <f t="shared" si="18"/>
        <v>191</v>
      </c>
      <c r="Z19" s="134">
        <f t="shared" si="18"/>
        <v>878</v>
      </c>
      <c r="AA19" s="134">
        <f t="shared" si="18"/>
        <v>884</v>
      </c>
      <c r="AB19" s="134">
        <f t="shared" si="18"/>
        <v>157</v>
      </c>
      <c r="AC19" s="134">
        <f t="shared" si="18"/>
        <v>3</v>
      </c>
      <c r="AD19" s="134">
        <f t="shared" si="18"/>
        <v>57</v>
      </c>
      <c r="AE19" s="134">
        <f t="shared" si="18"/>
        <v>53</v>
      </c>
      <c r="AF19" s="134">
        <f t="shared" si="18"/>
        <v>7</v>
      </c>
      <c r="AG19" s="134">
        <f t="shared" si="18"/>
        <v>214</v>
      </c>
      <c r="AH19" s="134">
        <f t="shared" si="18"/>
        <v>828</v>
      </c>
      <c r="AI19" s="134">
        <f t="shared" si="18"/>
        <v>851</v>
      </c>
      <c r="AJ19" s="134">
        <f t="shared" si="18"/>
        <v>191</v>
      </c>
      <c r="AK19" s="134">
        <f t="shared" si="18"/>
        <v>0</v>
      </c>
      <c r="AL19" s="134">
        <f t="shared" si="18"/>
        <v>72</v>
      </c>
      <c r="AM19" s="134">
        <f t="shared" si="18"/>
        <v>69</v>
      </c>
      <c r="AN19" s="210">
        <f t="shared" si="18"/>
        <v>3</v>
      </c>
      <c r="AO19" s="211">
        <v>8</v>
      </c>
      <c r="AP19" s="211">
        <v>7</v>
      </c>
      <c r="AQ19" s="211">
        <v>7</v>
      </c>
      <c r="AR19" s="211">
        <v>7</v>
      </c>
      <c r="AS19" s="153">
        <f t="shared" si="18"/>
        <v>0</v>
      </c>
      <c r="AT19" s="153">
        <f t="shared" si="18"/>
        <v>0</v>
      </c>
      <c r="AU19" s="211"/>
      <c r="AV19" s="212"/>
      <c r="AW19" s="211"/>
      <c r="AX19" s="212"/>
      <c r="AY19" s="133">
        <f>SUBTOTAL(9,AY9:AY18)</f>
        <v>10603</v>
      </c>
      <c r="AZ19" s="134">
        <f>SUBTOTAL(9,AZ9:AZ18)</f>
        <v>15028</v>
      </c>
      <c r="BA19" s="134">
        <f>SUBTOTAL(9,BA9:BA18)</f>
        <v>13235</v>
      </c>
      <c r="BB19" s="134">
        <f>SUBTOTAL(9,BB9:BB18)</f>
        <v>11799</v>
      </c>
      <c r="BC19" s="135">
        <f>SUBTOTAL(9,BC9:BC18)</f>
        <v>3330</v>
      </c>
      <c r="BD19" s="213">
        <f>IF(ISNUMBER(BA19/AZ19),BA19/AZ19," - ")</f>
        <v>0.88068937982432793</v>
      </c>
      <c r="BE19" s="210">
        <f>IF(ISNUMBER(BB19/BA19),BB19/BA19, " - ")</f>
        <v>0.89149981110691345</v>
      </c>
      <c r="BF19" s="210">
        <f>IF(ISNUMBER(BC19/BA19),BC19/BA19, " - ")</f>
        <v>0.2516055912353608</v>
      </c>
      <c r="BG19" s="135">
        <f>IF(ISNUMBER((AY19+AZ19)/BA19),(AY19+AZ19)/BA19," - ")</f>
        <v>1.9366074801662259</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jE33RQaemP88poJkw+RrE+vxWOI0YZ1vCS58EttErTl3K//SysEqsTdCYU5TNWGty5+v6EuIdpQt0lF+a9j4w==" saltValue="tX+C1aHHX9p6QhykRFJZA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2KHAJfqnh+wh1ur7ljA5m+6byNYzOo1MaUPsVxRtUv25C2x/xOAklkc8DzfCmycxPwuyjvOMWD6Jff6N6gjhQ==" saltValue="A1oz5XaQrdbE5tLpzME4o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CIUDAD REAL</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70</v>
      </c>
      <c r="G10" s="333">
        <f>IF(ISNUMBER(Datos!I10),Datos!I10," - ")</f>
        <v>102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49</v>
      </c>
      <c r="AC10" s="226">
        <f>IF(ISNUMBER(Datos!Q10),Datos!Q10," - ")</f>
        <v>6</v>
      </c>
      <c r="AD10" s="334"/>
      <c r="AE10" s="484"/>
      <c r="AF10" s="332">
        <f>IF(ISNUMBER(Datos!L10),Datos!L10,"-")</f>
        <v>72</v>
      </c>
      <c r="AG10" s="334"/>
      <c r="AH10" s="334"/>
      <c r="AI10" s="334"/>
      <c r="AJ10" s="334"/>
      <c r="AK10" s="334"/>
      <c r="AL10" s="479"/>
      <c r="AM10" s="335">
        <f>IF(ISNUMBER(Datos!R10),Datos!R10," - ")</f>
        <v>34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28</v>
      </c>
      <c r="BD10" s="229">
        <f>IF(ISNUMBER(Datos!N10),Datos!N10," - ")</f>
        <v>14</v>
      </c>
      <c r="BE10" s="229" t="str">
        <f>IF(ISNUMBER(Datos!BW10),Datos!BW10," - ")</f>
        <v xml:space="preserve"> - </v>
      </c>
      <c r="BF10" s="228" t="str">
        <f>IF(ISNUMBER(Datos!BX10),Datos!BX10," - ")</f>
        <v xml:space="preserve"> - </v>
      </c>
      <c r="BG10" s="243">
        <f>IF(ISNUMBER(Datos!K10/Datos!J10),Datos!K10/Datos!J10," - ")</f>
        <v>0.96078431372549022</v>
      </c>
      <c r="BH10" s="260">
        <f>IF(ISNUMBER(((Datos!L10/Datos!K10)*11)/factor_trimestre),((Datos!L10/Datos!K10)*11)/factor_trimestre," - ")</f>
        <v>16.163265306122451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-0.10526315789473684</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878</v>
      </c>
      <c r="O12" s="334"/>
      <c r="P12" s="334"/>
      <c r="Q12" s="226">
        <f>IF(ISNUMBER(Datos!P12),Datos!P12,0)</f>
        <v>1627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2635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157</v>
      </c>
      <c r="AI12" s="334" t="str">
        <f>IF(ISNUMBER(Datos!CD12),Datos!CD12,"-")</f>
        <v>-</v>
      </c>
      <c r="AJ12" s="334" t="str">
        <f>IF(ISNUMBER(Datos!EN12),Datos!EN12," - ")</f>
        <v xml:space="preserve"> - </v>
      </c>
      <c r="AK12" s="334"/>
      <c r="AL12" s="479"/>
      <c r="AM12" s="335">
        <f>IF(ISNUMBER(Datos!R12),Datos!R12," - ")</f>
        <v>7440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2695</v>
      </c>
      <c r="BD12" s="229">
        <f>IF(ISNUMBER(Datos!N12),Datos!N12," - ")</f>
        <v>3497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1.1317261587639851</v>
      </c>
      <c r="BH12" s="260">
        <f>IF(ISNUMBER(((IF(J_V="SI",Datos!L12/Datos!K12,(Datos!L12+Datos!AB12)/(Datos!K12+Datos!AA12)))*11)/factor_trimestre),((IF(J_V="SI",Datos!L12/Datos!K12,(Datos!L12+Datos!AB12)/(Datos!K12+Datos!AA12)))*11)/factor_trimestre," - ")</f>
        <v>9.2380840296575251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-0.11931818181818182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7</v>
      </c>
      <c r="F13" s="898">
        <f t="shared" si="0"/>
        <v>70</v>
      </c>
      <c r="G13" s="898">
        <f t="shared" si="0"/>
        <v>102</v>
      </c>
      <c r="H13" s="899">
        <f t="shared" si="0"/>
        <v>0</v>
      </c>
      <c r="I13" s="898">
        <f t="shared" si="0"/>
        <v>0</v>
      </c>
      <c r="J13" s="867">
        <f t="shared" si="0"/>
        <v>0</v>
      </c>
      <c r="K13" s="867">
        <f t="shared" si="0"/>
        <v>0</v>
      </c>
      <c r="L13" s="899">
        <f t="shared" si="0"/>
        <v>0</v>
      </c>
      <c r="M13" s="899">
        <f t="shared" si="0"/>
        <v>0</v>
      </c>
      <c r="N13" s="899">
        <f t="shared" si="0"/>
        <v>878</v>
      </c>
      <c r="O13" s="900">
        <f t="shared" si="0"/>
        <v>0</v>
      </c>
      <c r="P13" s="900">
        <f t="shared" si="0"/>
        <v>0</v>
      </c>
      <c r="Q13" s="899">
        <f t="shared" si="0"/>
        <v>1629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49</v>
      </c>
      <c r="AC13" s="899">
        <f t="shared" si="1"/>
        <v>2641</v>
      </c>
      <c r="AD13" s="899">
        <f t="shared" si="1"/>
        <v>0</v>
      </c>
      <c r="AE13" s="899">
        <f t="shared" si="1"/>
        <v>0</v>
      </c>
      <c r="AF13" s="899">
        <f t="shared" si="1"/>
        <v>72</v>
      </c>
      <c r="AG13" s="899">
        <f t="shared" si="1"/>
        <v>0</v>
      </c>
      <c r="AH13" s="899">
        <f t="shared" si="1"/>
        <v>157</v>
      </c>
      <c r="AI13" s="899">
        <f t="shared" si="1"/>
        <v>0</v>
      </c>
      <c r="AJ13" s="899">
        <f t="shared" si="1"/>
        <v>0</v>
      </c>
      <c r="AK13" s="899">
        <f t="shared" si="1"/>
        <v>0</v>
      </c>
      <c r="AL13" s="899">
        <f t="shared" si="1"/>
        <v>0</v>
      </c>
      <c r="AM13" s="899">
        <f t="shared" si="1"/>
        <v>7474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2723</v>
      </c>
      <c r="BD13" s="899">
        <f t="shared" si="1"/>
        <v>3511</v>
      </c>
      <c r="BE13" s="899">
        <f t="shared" si="1"/>
        <v>0</v>
      </c>
      <c r="BF13" s="899">
        <f t="shared" si="1"/>
        <v>0</v>
      </c>
      <c r="BG13" s="899">
        <f>IF(ISNUMBER(Datos!K13/Datos!J13),Datos!K13/Datos!J13," - ")</f>
        <v>1.1468343062415807</v>
      </c>
      <c r="BH13" s="903">
        <f>IF(ISNUMBER(((Datos!L13/Datos!K13)*11)/factor_trimestre),((Datos!L13/Datos!K13)*11)/factor_trimestre," - ")</f>
        <v>10.122813886713653</v>
      </c>
      <c r="BI13" s="899">
        <f>IF(ISNUMBER('Resol  Asuntos'!D13/NºAsuntos!G13),'Resol  Asuntos'!D13/NºAsuntos!G13," - ")</f>
        <v>0.31862859817458461</v>
      </c>
      <c r="BJ13" s="899" t="str">
        <f>IF(ISNUMBER(Datos!CI13/Datos!CJ13),Datos!CI13/Datos!CJ13," - ")</f>
        <v xml:space="preserve"> - </v>
      </c>
      <c r="BK13" s="899">
        <f>SUBTOTAL(9,BK8:BK12)</f>
        <v>0</v>
      </c>
      <c r="BL13" s="899">
        <f>IF(ISNUMBER((I13-AB13+L13)/(F13)),(I13-AB13+L13)/(F13)," - ")</f>
        <v>-0.7</v>
      </c>
      <c r="BM13" s="904">
        <f>SUBTOTAL(9,BM9:BM12)</f>
        <v>-0.22458133971291866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3008</v>
      </c>
      <c r="G16" s="598">
        <f>IF(ISNUMBER(IF(D_I="SI",Datos!I16,Datos!I16+Datos!AC16)),IF(D_I="SI",Datos!I16,Datos!I16+Datos!AC16)," - ")</f>
        <v>2979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526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8406</v>
      </c>
      <c r="AC16" s="226">
        <f>IF(ISNUMBER(Datos!Q16),Datos!Q16," - ")</f>
        <v>421</v>
      </c>
      <c r="AD16" s="334"/>
      <c r="AE16" s="484"/>
      <c r="AF16" s="596">
        <f>IF(ISNUMBER(IF(D_I="SI",Datos!L16,Datos!L16+Datos!AF16)),IF(D_I="SI",Datos!L16,Datos!L16+Datos!AF16)," - ")</f>
        <v>2438</v>
      </c>
      <c r="AG16" s="334"/>
      <c r="AH16" s="334"/>
      <c r="AI16" s="334"/>
      <c r="AJ16" s="334"/>
      <c r="AK16" s="334"/>
      <c r="AL16" s="479"/>
      <c r="AM16" s="335">
        <f>IF(ISNUMBER(Datos!R16),Datos!R16," - ")</f>
        <v>478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1173</v>
      </c>
      <c r="BD16" s="229">
        <f>IF(ISNUMBER(Datos!N16),Datos!N16," - ")</f>
        <v>4406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1.0727411944869831</v>
      </c>
      <c r="BH16" s="260">
        <f>IF(ISNUMBER(((IF(D_I="SI",Datos!L16/Datos!K16,(Datos!L16+Datos!AF16)/(Datos!K16+Datos!AE16)))*11)/factor_trimestre),((IF(D_I="SI",Datos!L16/Datos!K16,(Datos!L16+Datos!AF16)/(Datos!K16+Datos!AE16)))*11)/factor_trimestre," - ")</f>
        <v>3.1903402331667858</v>
      </c>
      <c r="BI16" s="243">
        <f>IF(ISNUMBER('Resol  Asuntos'!D16/NºAsuntos!G16),'Resol  Asuntos'!D16/NºAsuntos!G16," - ")</f>
        <v>0.1395431834403997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251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8</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686</v>
      </c>
      <c r="AC17" s="226">
        <f>IF(ISNUMBER(Datos!Q17),Datos!Q17," - ")</f>
        <v>8</v>
      </c>
      <c r="AD17" s="334"/>
      <c r="AE17" s="484"/>
      <c r="AF17" s="332">
        <f>IF(ISNUMBER(Datos!L17),Datos!L17,"-")</f>
        <v>179</v>
      </c>
      <c r="AG17" s="334"/>
      <c r="AH17" s="334"/>
      <c r="AI17" s="334"/>
      <c r="AJ17" s="334"/>
      <c r="AK17" s="334"/>
      <c r="AL17" s="479"/>
      <c r="AM17" s="335">
        <f>IF(ISNUMBER(Datos!R17),Datos!R17," - ")</f>
        <v>12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104</v>
      </c>
      <c r="BD17" s="229">
        <f>IF(ISNUMBER(Datos!N17),Datos!N17," - ")</f>
        <v>485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0.95410292072322667</v>
      </c>
      <c r="BH17" s="260">
        <f>IF(ISNUMBER(((IF(D_I="SI",Datos!L17/Datos!K17,(Datos!L17+Datos!AF17)/(Datos!K17+Datos!AE17)))*11)/factor_trimestre),((IF(D_I="SI",Datos!L17/Datos!K17,(Datos!L17+Datos!AF17)/(Datos!K17+Datos!AE17)))*11)/factor_trimestre," - ")</f>
        <v>2.8702623906705536</v>
      </c>
      <c r="BI17" s="243">
        <f>IF(ISNUMBER('Resol  Asuntos'!D17/NºAsuntos!G17),'Resol  Asuntos'!D17/NºAsuntos!G17," - ")</f>
        <v>0.15160349854227406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7</v>
      </c>
      <c r="F18" s="898">
        <f>SUBTOTAL(9,F15:F17)</f>
        <v>3008</v>
      </c>
      <c r="G18" s="898">
        <f>SUBTOTAL(9,G15:G17)</f>
        <v>3230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534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9092</v>
      </c>
      <c r="AC18" s="899">
        <f t="shared" si="4"/>
        <v>429</v>
      </c>
      <c r="AD18" s="899">
        <f t="shared" si="4"/>
        <v>0</v>
      </c>
      <c r="AE18" s="899">
        <f t="shared" si="4"/>
        <v>0</v>
      </c>
      <c r="AF18" s="899">
        <f t="shared" si="4"/>
        <v>2617</v>
      </c>
      <c r="AG18" s="899">
        <f t="shared" si="4"/>
        <v>0</v>
      </c>
      <c r="AH18" s="899">
        <f t="shared" si="4"/>
        <v>0</v>
      </c>
      <c r="AI18" s="899">
        <f t="shared" si="4"/>
        <v>0</v>
      </c>
      <c r="AJ18" s="899">
        <f t="shared" si="4"/>
        <v>0</v>
      </c>
      <c r="AK18" s="899">
        <f t="shared" si="4"/>
        <v>0</v>
      </c>
      <c r="AL18" s="899">
        <f t="shared" si="4"/>
        <v>0</v>
      </c>
      <c r="AM18" s="899">
        <f t="shared" si="4"/>
        <v>490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1277</v>
      </c>
      <c r="BD18" s="899">
        <f t="shared" si="4"/>
        <v>4891</v>
      </c>
      <c r="BE18" s="899">
        <f t="shared" si="4"/>
        <v>0</v>
      </c>
      <c r="BF18" s="899">
        <f t="shared" si="4"/>
        <v>0</v>
      </c>
      <c r="BG18" s="899">
        <f>IF(ISNUMBER(Datos!K18/Datos!J18),Datos!K18/Datos!J18," - ")</f>
        <v>1.062770309760374</v>
      </c>
      <c r="BH18" s="903">
        <f>IF(ISNUMBER(((Datos!L18/Datos!K18)*11)/factor_trimestre),((Datos!L18/Datos!K18)*11)/factor_trimestre," - ")</f>
        <v>3.1661900571931367</v>
      </c>
      <c r="BI18" s="899">
        <f>SUBTOTAL(9,BI15:BI17)</f>
        <v>0.29114668198267379</v>
      </c>
      <c r="BJ18" s="899">
        <f>SUBTOTAL(9,BJ15:BJ17)</f>
        <v>0</v>
      </c>
      <c r="BK18" s="899">
        <f>SUBTOTAL(9,BK15:BK17)</f>
        <v>0</v>
      </c>
      <c r="BL18" s="899">
        <f>IF(ISNUMBER((I18-AB18+L18)/(F18)),(I18-AB18+L18)/(F18)," - ")</f>
        <v>-3.0226063829787235</v>
      </c>
      <c r="BM18" s="905">
        <f>IF(ISNUMBER((Datos!P18-Datos!Q18)/(Datos!R18-Datos!P18+Datos!Q18)),(Datos!P18-Datos!Q18)/(Datos!R18-Datos!P18+Datos!Q18)," - ")</f>
        <v>0.27272727272727271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14</v>
      </c>
      <c r="F19" s="820">
        <f t="shared" si="6"/>
        <v>3078</v>
      </c>
      <c r="G19" s="820">
        <f t="shared" si="6"/>
        <v>3332</v>
      </c>
      <c r="H19" s="822">
        <f t="shared" si="6"/>
        <v>0</v>
      </c>
      <c r="I19" s="820">
        <f t="shared" si="6"/>
        <v>0</v>
      </c>
      <c r="J19" s="822">
        <f t="shared" si="6"/>
        <v>0</v>
      </c>
      <c r="K19" s="822">
        <f t="shared" si="6"/>
        <v>0</v>
      </c>
      <c r="L19" s="881">
        <f t="shared" si="6"/>
        <v>0</v>
      </c>
      <c r="M19" s="881">
        <f t="shared" si="6"/>
        <v>0</v>
      </c>
      <c r="N19" s="881">
        <f t="shared" si="6"/>
        <v>878</v>
      </c>
      <c r="O19" s="881">
        <f t="shared" si="6"/>
        <v>0</v>
      </c>
      <c r="P19" s="881">
        <f t="shared" si="6"/>
        <v>0</v>
      </c>
      <c r="Q19" s="822">
        <f t="shared" si="6"/>
        <v>2163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9141</v>
      </c>
      <c r="AC19" s="821">
        <f t="shared" si="7"/>
        <v>3070</v>
      </c>
      <c r="AD19" s="821">
        <f t="shared" si="7"/>
        <v>0</v>
      </c>
      <c r="AE19" s="821">
        <f t="shared" si="7"/>
        <v>0</v>
      </c>
      <c r="AF19" s="828">
        <f t="shared" si="7"/>
        <v>2689</v>
      </c>
      <c r="AG19" s="828">
        <f t="shared" si="7"/>
        <v>0</v>
      </c>
      <c r="AH19" s="828">
        <f t="shared" si="7"/>
        <v>157</v>
      </c>
      <c r="AI19" s="828">
        <f t="shared" si="7"/>
        <v>0</v>
      </c>
      <c r="AJ19" s="821">
        <f t="shared" si="7"/>
        <v>0</v>
      </c>
      <c r="AK19" s="828">
        <f t="shared" si="7"/>
        <v>0</v>
      </c>
      <c r="AL19" s="828">
        <f t="shared" si="7"/>
        <v>0</v>
      </c>
      <c r="AM19" s="828">
        <f t="shared" si="7"/>
        <v>7964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4000</v>
      </c>
      <c r="BD19" s="820">
        <f t="shared" si="7"/>
        <v>8402</v>
      </c>
      <c r="BE19" s="820">
        <f t="shared" si="7"/>
        <v>0</v>
      </c>
      <c r="BF19" s="830">
        <f t="shared" si="7"/>
        <v>0</v>
      </c>
      <c r="BG19" s="915">
        <f>IF(ISNUMBER(Datos!K19/Datos!J19),Datos!K19/Datos!J19," - ")</f>
        <v>1.0996324494618011</v>
      </c>
      <c r="BH19" s="915">
        <f>IF(ISNUMBER(((Datos!L19/Datos!K19)*11)/factor_trimestre),((Datos!L19/Datos!K19)*11)/factor_trimestre," - ")</f>
        <v>6.3476184791691539</v>
      </c>
      <c r="BI19" s="813">
        <f>IF(ISNUMBER(Datos!J19/Datos!I19),Datos!J19/Datos!I19," - ")</f>
        <v>1.3125430737422468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-2.969785575048733</v>
      </c>
      <c r="BM19" s="889">
        <f>IF(ISNUMBER((Datos!P19-Datos!Q19+R19)/(Datos!R19-Datos!P19+Datos!Q19-R19)),(Datos!P19-Datos!Q19+R19)/(Datos!R19-Datos!P19+Datos!Q19-R19)," - ")</f>
        <v>-0.10224326456994702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1332.8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3.6893239368631092</v>
      </c>
      <c r="F21" s="551">
        <f>IF(ISNUMBER(STDEV(F8:F18)),STDEV(F8:F18),"-")</f>
        <v>1696.2550908791206</v>
      </c>
      <c r="G21" s="552">
        <f>IF(ISNUMBER(STDEV(G8:G18)),STDEV(G8:G18),"-")</f>
        <v>1620.9079862842309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4662.4669757543588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1185.693496088541</v>
      </c>
      <c r="BD21" s="551"/>
      <c r="BE21" s="551">
        <f>IF(ISNUMBER(STDEV(BE8:BE18)),STDEV(BE8:BE18),"-")</f>
        <v>0</v>
      </c>
      <c r="BF21" s="556">
        <f>IF(ISNUMBER(STDEV(BF8:BF18)),STDEV(BF8:BF18),"-")</f>
        <v>0</v>
      </c>
      <c r="BG21" s="775">
        <f>IF(ISNUMBER(STDEV(BG8:BG18)),STDEV(BG8:BG18),"-")</f>
        <v>8.2161069298158085E-2</v>
      </c>
      <c r="BH21" s="776">
        <f>IF(ISNUMBER(STDEV(BH8:BH18)),STDEV(BH8:BH18),"-")</f>
        <v>5.361556931338022</v>
      </c>
      <c r="BI21" s="249">
        <f>IF(ISNUMBER(STDEV(BI8:BI18)),STDEV(BI8:BI18),"-")</f>
        <v>9.2792599116960986E-2</v>
      </c>
      <c r="BJ21" s="230" t="str">
        <f>IF(ISNUMBER(BL21/BM21),BL21/BM21," - ")</f>
        <v xml:space="preserve"> - </v>
      </c>
      <c r="BK21" s="575"/>
      <c r="BL21" s="559">
        <f>IF(ISNUMBER(STDEV(BL8:BL18)),STDEV(BL8:BL18),"-")</f>
        <v>1.6423307234314151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UkpkM0VqbkX32jSqPVEn0l8i9DCt+NvLgzCwA23iautovs/mNboAKopuZU+cjMy0u5Cjz1gfBOHMDKwIqMDzzA==" saltValue="zsQqe+YvbPiK4YinthZp9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CIUDAD REAL</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70</v>
      </c>
      <c r="G10" s="225">
        <f>IF(ISNUMBER(Datos!I10),Datos!I10," - ")</f>
        <v>102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49</v>
      </c>
      <c r="Z10" s="619">
        <f>IF(ISNUMBER(Datos!Q10),Datos!Q10," - ")</f>
        <v>6</v>
      </c>
      <c r="AA10" s="332">
        <f>IF(ISNUMBER(Datos!L10),Datos!L10,"-")</f>
        <v>72</v>
      </c>
      <c r="AB10" s="334"/>
      <c r="AC10" s="334"/>
      <c r="AD10" s="484"/>
      <c r="AE10" s="484">
        <f>IF(ISNUMBER(Datos!R10),Datos!R10," - ")</f>
        <v>34</v>
      </c>
      <c r="AF10" s="229" t="str">
        <f>IF(ISNUMBER(Datos!BV10),Datos!BV10," - ")</f>
        <v xml:space="preserve"> - </v>
      </c>
      <c r="AG10" s="225" t="str">
        <f>IF(ISNUMBER(Datos!DV10),Datos!DV10," - ")</f>
        <v xml:space="preserve"> - </v>
      </c>
      <c r="AH10" s="298"/>
      <c r="AI10" s="227"/>
      <c r="AJ10" s="225">
        <f>IF(ISNUMBER(Datos!M10),Datos!M10," - ")</f>
        <v>28</v>
      </c>
      <c r="AK10" s="229">
        <f>IF(ISNUMBER(Datos!N10),Datos!N10," - ")</f>
        <v>14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16.163265306122451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-0.10526315789473684</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1627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2635</v>
      </c>
      <c r="AA12" s="332" t="str">
        <f>IF(ISNUMBER(IF(J_V="SI",Datos!L12,Datos!L12+Datos!AB12)-IF(Monitorios="SI",Datos!CD12,0)),
                          IF(J_V="SI",Datos!L12,Datos!L12+Datos!AB12)-IF(Monitorios="SI",Datos!CD12,0),
                          " - ")</f>
        <v xml:space="preserve"> - </v>
      </c>
      <c r="AB12" s="334"/>
      <c r="AC12" s="334"/>
      <c r="AD12" s="484"/>
      <c r="AE12" s="484">
        <f>IF(ISNUMBER(Datos!R12),Datos!R12," - ")</f>
        <v>7440</v>
      </c>
      <c r="AF12" s="229" t="str">
        <f>IF(ISNUMBER(Datos!BV12),Datos!BV12," - ")</f>
        <v xml:space="preserve"> - </v>
      </c>
      <c r="AG12" s="225" t="str">
        <f>IF(ISNUMBER(Datos!DV12),Datos!DV12," - ")</f>
        <v xml:space="preserve"> - </v>
      </c>
      <c r="AH12" s="298"/>
      <c r="AI12" s="227"/>
      <c r="AJ12" s="225">
        <f>IF(ISNUMBER(Datos!M12),Datos!M12," - ")</f>
        <v>2695</v>
      </c>
      <c r="AK12" s="229">
        <f>IF(ISNUMBER(Datos!N12),Datos!N12," - ")</f>
        <v>3497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9.2380840296575251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-0.11931818181818182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7</v>
      </c>
      <c r="F13" s="898">
        <f>SUBTOTAL(9,F8:F12)</f>
        <v>70</v>
      </c>
      <c r="G13" s="898">
        <f>SUBTOTAL(9,G8:G12)</f>
        <v>102</v>
      </c>
      <c r="H13" s="908"/>
      <c r="I13" s="898">
        <f t="shared" ref="I13:N13" si="0">SUBTOTAL(9,I8:I12)</f>
        <v>0</v>
      </c>
      <c r="J13" s="867">
        <f t="shared" si="0"/>
        <v>0</v>
      </c>
      <c r="K13" s="908">
        <f t="shared" si="0"/>
        <v>0</v>
      </c>
      <c r="L13" s="908">
        <f t="shared" si="0"/>
        <v>0</v>
      </c>
      <c r="M13" s="908">
        <f t="shared" si="0"/>
        <v>0</v>
      </c>
      <c r="N13" s="908">
        <f t="shared" si="0"/>
        <v>1629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49</v>
      </c>
      <c r="Z13" s="907">
        <f t="shared" si="2"/>
        <v>2641</v>
      </c>
      <c r="AA13" s="900">
        <f t="shared" si="2"/>
        <v>72</v>
      </c>
      <c r="AB13" s="900">
        <f t="shared" si="2"/>
        <v>0</v>
      </c>
      <c r="AC13" s="900">
        <f t="shared" si="2"/>
        <v>0</v>
      </c>
      <c r="AD13" s="900">
        <f t="shared" si="2"/>
        <v>0</v>
      </c>
      <c r="AE13" s="900">
        <f t="shared" si="2"/>
        <v>7474</v>
      </c>
      <c r="AF13" s="908">
        <f t="shared" si="2"/>
        <v>0</v>
      </c>
      <c r="AG13" s="908">
        <f t="shared" si="2"/>
        <v>0</v>
      </c>
      <c r="AH13" s="908">
        <f t="shared" si="2"/>
        <v>0</v>
      </c>
      <c r="AI13" s="908">
        <f t="shared" si="2"/>
        <v>0</v>
      </c>
      <c r="AJ13" s="908">
        <f t="shared" si="2"/>
        <v>2723</v>
      </c>
      <c r="AK13" s="908">
        <f t="shared" si="2"/>
        <v>3511</v>
      </c>
      <c r="AL13" s="908">
        <f t="shared" si="2"/>
        <v>0</v>
      </c>
      <c r="AM13" s="908">
        <f t="shared" si="2"/>
        <v>0</v>
      </c>
      <c r="AN13" s="908">
        <f t="shared" si="2"/>
        <v>0</v>
      </c>
      <c r="AO13" s="904">
        <f>IF(ISNUMBER(((NºAsuntos!I13/NºAsuntos!G13)*11)/factor_trimestre),((NºAsuntos!I13/NºAsuntos!G13)*11)/factor_trimestre," - ")</f>
        <v>9.2777907793119585</v>
      </c>
      <c r="AP13" s="910" t="str">
        <f>IF(ISNUMBER(Datos!CI13/Datos!CJ13),Datos!CI13/Datos!CJ13," - ")</f>
        <v xml:space="preserve"> - </v>
      </c>
      <c r="AQ13" s="928">
        <f t="shared" ref="AQ13:AV13" si="3">SUBTOTAL(9,AQ9:AQ12)</f>
        <v>0</v>
      </c>
      <c r="AR13" s="928">
        <f t="shared" si="3"/>
        <v>-0.22458133971291866</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7</v>
      </c>
      <c r="B16" s="507" t="s">
        <v>396</v>
      </c>
      <c r="C16" s="160" t="str">
        <f>Datos!A16</f>
        <v xml:space="preserve">Jdos. 1ª Instª. e Instr.                        </v>
      </c>
      <c r="D16" s="502"/>
      <c r="E16" s="1168">
        <f>IF(ISNUMBER(Datos!AQ16),Datos!AQ16," - ")</f>
        <v>7</v>
      </c>
      <c r="F16" s="333">
        <f>IF(ISNUMBER(AA16+Y16-Datos!J16-K15),AA16+Y16-Datos!J16-K15," - ")</f>
        <v>3008</v>
      </c>
      <c r="G16" s="225">
        <f>IF(ISNUMBER(IF(D_I="SI",Datos!I16,Datos!I16+Datos!AC16)),IF(D_I="SI",Datos!I16,Datos!I16+Datos!AC16)," - ")</f>
        <v>2979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526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8406</v>
      </c>
      <c r="Z16" s="619">
        <f>IF(ISNUMBER(Datos!Q16),Datos!Q16," - ")</f>
        <v>421</v>
      </c>
      <c r="AA16" s="332">
        <f>IF(ISNUMBER(IF(D_I="SI",Datos!L16,Datos!L16+Datos!AF16)),IF(D_I="SI",Datos!L16,Datos!L16+Datos!AF16)," - ")</f>
        <v>2438</v>
      </c>
      <c r="AB16" s="334"/>
      <c r="AC16" s="334"/>
      <c r="AD16" s="484"/>
      <c r="AE16" s="484">
        <f>IF(ISNUMBER(Datos!R16),Datos!R16," - ")</f>
        <v>478</v>
      </c>
      <c r="AF16" s="229" t="str">
        <f>IF(ISNUMBER(Datos!BV16),Datos!BV16," - ")</f>
        <v xml:space="preserve"> - </v>
      </c>
      <c r="AG16" s="225"/>
      <c r="AH16" s="298"/>
      <c r="AI16" s="227"/>
      <c r="AJ16" s="225">
        <f>IF(ISNUMBER(Datos!M16),Datos!M16," - ")</f>
        <v>1173</v>
      </c>
      <c r="AK16" s="229">
        <f>IF(ISNUMBER(Datos!N16),Datos!N16," - ")</f>
        <v>4406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3.1903402331667858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251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8</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686</v>
      </c>
      <c r="Z17" s="619">
        <f>IF(ISNUMBER(Datos!Q17),Datos!Q17," - ")</f>
        <v>8</v>
      </c>
      <c r="AA17" s="332">
        <f>IF(ISNUMBER(Datos!L17),Datos!L17,"-")</f>
        <v>179</v>
      </c>
      <c r="AB17" s="334"/>
      <c r="AC17" s="334"/>
      <c r="AD17" s="484"/>
      <c r="AE17" s="484">
        <f>IF(ISNUMBER(Datos!R17),Datos!R17," - ")</f>
        <v>12</v>
      </c>
      <c r="AF17" s="229" t="str">
        <f>IF(ISNUMBER(Datos!BV17),Datos!BV17," - ")</f>
        <v xml:space="preserve"> - </v>
      </c>
      <c r="AG17" s="225" t="str">
        <f>IF(ISNUMBER(Datos!DV17),Datos!DV17," - ")</f>
        <v xml:space="preserve"> - </v>
      </c>
      <c r="AH17" s="298"/>
      <c r="AI17" s="227"/>
      <c r="AJ17" s="225">
        <f>IF(ISNUMBER(Datos!M17),Datos!M17," - ")</f>
        <v>104</v>
      </c>
      <c r="AK17" s="229">
        <f>IF(ISNUMBER(Datos!N17),Datos!N17," - ")</f>
        <v>485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2.8702623906705536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7</v>
      </c>
      <c r="F18" s="898">
        <f>SUBTOTAL(9,F15:F17)</f>
        <v>3008</v>
      </c>
      <c r="G18" s="898">
        <f>SUBTOTAL(9,G15:G17)</f>
        <v>3230</v>
      </c>
      <c r="H18" s="932">
        <f>SUBTOTAL(9,H15:H17)</f>
        <v>0</v>
      </c>
      <c r="I18" s="911">
        <f>SUBTOTAL(9,I15:I17)</f>
        <v>0</v>
      </c>
      <c r="J18" s="867">
        <f>SUBTOTAL(9,J14:J17)</f>
        <v>0</v>
      </c>
      <c r="K18" s="932">
        <f t="shared" ref="K18:S18" si="4">SUBTOTAL(9,K15:K17)</f>
        <v>0</v>
      </c>
      <c r="L18" s="932">
        <f t="shared" si="4"/>
        <v>0</v>
      </c>
      <c r="M18" s="932">
        <f t="shared" si="4"/>
        <v>0</v>
      </c>
      <c r="N18" s="932">
        <f t="shared" si="4"/>
        <v>534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9092</v>
      </c>
      <c r="Z18" s="932">
        <f t="shared" si="5"/>
        <v>429</v>
      </c>
      <c r="AA18" s="932">
        <f t="shared" si="5"/>
        <v>2617</v>
      </c>
      <c r="AB18" s="932">
        <f t="shared" si="5"/>
        <v>0</v>
      </c>
      <c r="AC18" s="932">
        <f t="shared" si="5"/>
        <v>0</v>
      </c>
      <c r="AD18" s="932">
        <f t="shared" si="5"/>
        <v>0</v>
      </c>
      <c r="AE18" s="932">
        <f t="shared" si="5"/>
        <v>490</v>
      </c>
      <c r="AF18" s="932">
        <f t="shared" si="5"/>
        <v>0</v>
      </c>
      <c r="AG18" s="932">
        <f t="shared" si="5"/>
        <v>0</v>
      </c>
      <c r="AH18" s="932">
        <f t="shared" si="5"/>
        <v>0</v>
      </c>
      <c r="AI18" s="932">
        <f t="shared" si="5"/>
        <v>0</v>
      </c>
      <c r="AJ18" s="932">
        <f t="shared" si="5"/>
        <v>1277</v>
      </c>
      <c r="AK18" s="932">
        <f t="shared" si="5"/>
        <v>4891</v>
      </c>
      <c r="AL18" s="932">
        <f t="shared" si="5"/>
        <v>0</v>
      </c>
      <c r="AM18" s="932">
        <f t="shared" si="5"/>
        <v>0</v>
      </c>
      <c r="AN18" s="932">
        <f t="shared" si="5"/>
        <v>0</v>
      </c>
      <c r="AO18" s="934">
        <f>IF(ISNUMBER(((NºAsuntos!I18/NºAsuntos!G18)*11)/factor_trimestre),((NºAsuntos!I18/NºAsuntos!G18)*11)/factor_trimestre," - ")</f>
        <v>3.1661900571931367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14</v>
      </c>
      <c r="F19" s="820">
        <f t="shared" si="7"/>
        <v>3078</v>
      </c>
      <c r="G19" s="820">
        <f t="shared" si="7"/>
        <v>3332</v>
      </c>
      <c r="H19" s="821">
        <f t="shared" si="7"/>
        <v>0</v>
      </c>
      <c r="I19" s="820">
        <f t="shared" si="7"/>
        <v>0</v>
      </c>
      <c r="J19" s="822">
        <f t="shared" si="7"/>
        <v>0</v>
      </c>
      <c r="K19" s="820">
        <f t="shared" si="7"/>
        <v>0</v>
      </c>
      <c r="L19" s="823">
        <f t="shared" si="7"/>
        <v>0</v>
      </c>
      <c r="M19" s="820">
        <f t="shared" si="7"/>
        <v>0</v>
      </c>
      <c r="N19" s="821">
        <f t="shared" si="7"/>
        <v>2163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9141</v>
      </c>
      <c r="Z19" s="827">
        <f t="shared" si="8"/>
        <v>3070</v>
      </c>
      <c r="AA19" s="828">
        <f t="shared" si="8"/>
        <v>2689</v>
      </c>
      <c r="AB19" s="828">
        <f t="shared" si="8"/>
        <v>0</v>
      </c>
      <c r="AC19" s="828">
        <f t="shared" si="8"/>
        <v>0</v>
      </c>
      <c r="AD19" s="829">
        <f t="shared" si="8"/>
        <v>0</v>
      </c>
      <c r="AE19" s="829">
        <f t="shared" si="8"/>
        <v>7964</v>
      </c>
      <c r="AF19" s="830">
        <f t="shared" si="8"/>
        <v>0</v>
      </c>
      <c r="AG19" s="831">
        <f t="shared" si="8"/>
        <v>0</v>
      </c>
      <c r="AH19" s="832">
        <f t="shared" si="8"/>
        <v>0</v>
      </c>
      <c r="AI19" s="830">
        <f t="shared" si="8"/>
        <v>0</v>
      </c>
      <c r="AJ19" s="820">
        <f t="shared" si="8"/>
        <v>4000</v>
      </c>
      <c r="AK19" s="820">
        <f t="shared" si="8"/>
        <v>8402</v>
      </c>
      <c r="AL19" s="820">
        <f t="shared" si="8"/>
        <v>0</v>
      </c>
      <c r="AM19" s="833">
        <f t="shared" si="8"/>
        <v>0</v>
      </c>
      <c r="AN19" s="823">
        <f>IF(ISNUMBER(Datos!K19/Datos!J19),Datos!K19/Datos!J19," - ")</f>
        <v>1.0996324494618011</v>
      </c>
      <c r="AO19" s="823">
        <f>IF(ISNUMBER(FIND("06",Criterios!A8,1)),(IF(ISNUMBER(((Datos!R19/Datos!Q19)*11)/factor_trimestre),((Datos!R19/Datos!Q19)*11)/factor_trimestre," - ")),(IF(ISNUMBER(((Datos!L19/Datos!K19)*11)/factor_trimestre),((Datos!L19/Datos!K19)*11)/factor_trimestre," - ")))</f>
        <v>6.3476184791691539</v>
      </c>
      <c r="AP19" s="834" t="str">
        <f>IF(ISNUMBER(Datos!CI19/Datos!CJ19),Datos!CI19/Datos!CJ19," - ")</f>
        <v xml:space="preserve"> - </v>
      </c>
      <c r="AQ19" s="834">
        <f>IF(OR(ISNUMBER(FIND("01",Criterios!A8,1)),ISNUMBER(FIND("02",Criterios!A8,1)),ISNUMBER(FIND("03",Criterios!A8,1)),ISNUMBER(FIND("04",Criterios!A8,1))),(J19-Y19+K19)/(F19-K19),(I19-Y19+K19)/(F19-K19))</f>
        <v>-2.969785575048733</v>
      </c>
      <c r="AR19" s="834">
        <f>IF(ISNUMBER((Datos!P19-Datos!Q19+O19)/(Datos!R19-Datos!P19+Datos!Q19-O19)),(Datos!P19-Datos!Q19+O19)/(Datos!R19-Datos!P19+Datos!Q19-O19)," - ")</f>
        <v>-0.10224326456994702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1332.8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1696.2550908791206</v>
      </c>
      <c r="G21" s="552">
        <f>IF(ISNUMBER(STDEV(G8:G18)),STDEV(G8:G18),"-")</f>
        <v>1620.9079862842309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1185.693496088541</v>
      </c>
      <c r="AK21" s="252"/>
      <c r="AL21" s="252">
        <f>IF(ISNUMBER(STDEV(AL8:AL18)),STDEV(AL8:AL18),"-")</f>
        <v>0</v>
      </c>
      <c r="AM21" s="254">
        <f>IF(ISNUMBER(STDEV(AM8:AM18)),STDEV(AM8:AM18),"-")</f>
        <v>0</v>
      </c>
      <c r="AN21" s="539">
        <f>IF(ISNUMBER(STDEV(AN8:AN18)),STDEV(AN8:AN18),"-")</f>
        <v>0</v>
      </c>
      <c r="AO21" s="540">
        <f>IF(ISNUMBER(STDEV(AO8:AO18)),STDEV(AO8:AO18),"-")</f>
        <v>5.288169645472065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Y6ZDH4dLTkD31e6TPGJcQUhuKgfrN/pleU2yj4IUBNeO1pC4W6BZs+dnwXqNPhKLlKwdy22ZABf0fPkXtZR7Xg==" saltValue="kLnGpyYqQKnYKxo06zTtq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3oLT0W035OrJFDqlcxf1VLKL4rOzdDI/Ux6/YFCSjVn6Nsei3lWMe492griM6sXgcllgDsfgULlXnaJgmuHBIg==" saltValue="Len4Whbutc854vjVUhjG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4ipEkdMe51HM8MiNE1gJc4lD3sFwbJlEA/lR1Q91PDPZB32kvlYXQia9ndeDQ25znlqojqeSjN+FZZdR/JEkw==" saltValue="Si6yYAJKkQh8wwO2Dq/wn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CIUDAD REAL</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0.31862859817458461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0.22530444244921238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yO7Sq1SHbwZ20MqkFucCEO20Z5uAultTgeXvum1p16wRBBPfVpnpRi62ieoLwyaOziiR42//Q29oqOSw4o+mtA==" saltValue="4dFvSkkF7OqfPlJ5RH5D6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iUFK+YKvNMss8AFB4TcLp+gmBvVrYQ0tPOvjfygzs7Xxet/fZAH11PHbLVPPscuMmWTX751bF3qaIhOsX6qM3Q==" saltValue="/FFYON+IKWIaOi8m2iDR8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CIUDAD REAL</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102</v>
      </c>
      <c r="D10" s="404">
        <f>IF(ISNUMBER(C10/Datos!BH10),C10/Datos!BH10," - ")</f>
        <v>102</v>
      </c>
      <c r="E10" s="403">
        <f>IF(ISNUMBER(Datos!J10),Datos!J10," - ")</f>
        <v>51</v>
      </c>
      <c r="F10" s="404">
        <f>IF(ISNUMBER(E10/B10),E10/B10," - ")</f>
        <v>51</v>
      </c>
      <c r="G10" s="403">
        <f>IF(ISNUMBER(Datos!K10),Datos!K10," - ")</f>
        <v>49</v>
      </c>
      <c r="H10" s="404">
        <f>IF(ISNUMBER(G10/B10),G10/B10," - ")</f>
        <v>49</v>
      </c>
      <c r="I10" s="403">
        <f>IF(ISNUMBER(Datos!L10),Datos!L10," - ")</f>
        <v>72</v>
      </c>
      <c r="J10" s="404">
        <f>IF(ISNUMBER(I10/B10),I10/B10," - ")</f>
        <v>72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7</v>
      </c>
      <c r="C12" s="403">
        <f>IF(ISNUMBER(IF(J_V="SI",Datos!I12,Datos!I12+Datos!Y12)),IF(J_V="SI",Datos!I12,Datos!I12+Datos!Y12)," - ")</f>
        <v>8467</v>
      </c>
      <c r="D12" s="404">
        <f>IF(ISNUMBER(C12/Datos!BH12),C12/Datos!BH12," - ")</f>
        <v>1209.5714285714287</v>
      </c>
      <c r="E12" s="403">
        <f>IF(ISNUMBER(IF(J_V="SI",Datos!J12,Datos!J12+Datos!Z12)),IF(J_V="SI",Datos!J12,Datos!J12+Datos!Z12)," - ")</f>
        <v>7508</v>
      </c>
      <c r="F12" s="404">
        <f>IF(ISNUMBER(E12/B12),E12/B12," - ")</f>
        <v>1072.5714285714287</v>
      </c>
      <c r="G12" s="403">
        <f>IF(ISNUMBER(IF(J_V="SI",Datos!K12,Datos!K12+Datos!AA12)),IF(J_V="SI",Datos!K12,Datos!K12+Datos!AA12)," - ")</f>
        <v>8497</v>
      </c>
      <c r="H12" s="404">
        <f>IF(ISNUMBER(G12/B12),G12/B12," - ")</f>
        <v>1213.8571428571429</v>
      </c>
      <c r="I12" s="403">
        <f>IF(ISNUMBER(IF(J_V="SI",Datos!L12,Datos!L12+Datos!AB12)),IF(J_V="SI",Datos!L12,Datos!L12+Datos!AB12)," - ")</f>
        <v>7136</v>
      </c>
      <c r="J12" s="404">
        <f>IF(ISNUMBER(I12/B12),I12/B12," - ")</f>
        <v>1019.4285714285714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8569</v>
      </c>
      <c r="D13" s="850" t="str">
        <f>IF(ISNUMBER(C13/Datos!BI13),C13/Datos!BI13," - ")</f>
        <v xml:space="preserve"> - </v>
      </c>
      <c r="E13" s="849">
        <f>SUBTOTAL(9,E8:E12)</f>
        <v>7559</v>
      </c>
      <c r="F13" s="850">
        <f>IF(ISNUMBER(E13/B13),E13/B13," - ")</f>
        <v>1079.8571428571429</v>
      </c>
      <c r="G13" s="849">
        <f>SUBTOTAL(9,G8:G12)</f>
        <v>8546</v>
      </c>
      <c r="H13" s="850">
        <f>IF(ISNUMBER(G13/B13),G13/B13," - ")</f>
        <v>1220.8571428571429</v>
      </c>
      <c r="I13" s="849">
        <f>SUBTOTAL(9,I8:I12)</f>
        <v>7208</v>
      </c>
      <c r="J13" s="850">
        <f>IF(ISNUMBER(I13/B13),I13/B13," - ")</f>
        <v>1029.7142857142858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7</v>
      </c>
      <c r="C16" s="403">
        <f>IF(ISNUMBER(IF(D_I="SI",Datos!I16,Datos!I16+Datos!AC16)),IF(D_I="SI",Datos!I16,Datos!I16+Datos!AC16)," - ")</f>
        <v>2979</v>
      </c>
      <c r="D16" s="404">
        <f>IF(ISNUMBER(C16/Datos!BH16),C16/Datos!BH16," - ")</f>
        <v>425.57142857142856</v>
      </c>
      <c r="E16" s="403">
        <f>IF(ISNUMBER(IF(D_I="SI",Datos!J16,Datos!J16+Datos!AD16)),IF(D_I="SI",Datos!J16,Datos!J16+Datos!AD16)," - ")</f>
        <v>7836</v>
      </c>
      <c r="F16" s="404">
        <f>IF(ISNUMBER(E16/B16),E16/B16," - ")</f>
        <v>1119.4285714285713</v>
      </c>
      <c r="G16" s="403">
        <f>IF(ISNUMBER(IF(D_I="SI",Datos!K16,Datos!K16+Datos!AE16)),IF(D_I="SI",Datos!K16,Datos!K16+Datos!AE16)," - ")</f>
        <v>8406</v>
      </c>
      <c r="H16" s="404">
        <f>IF(ISNUMBER(G16/B16),G16/B16," - ")</f>
        <v>1200.8571428571429</v>
      </c>
      <c r="I16" s="403">
        <f>IF(ISNUMBER(IF(D_I="SI",Datos!L16,Datos!L16+Datos!AF16)),IF(D_I="SI",Datos!L16,Datos!L16+Datos!AF16)," - ")</f>
        <v>2438</v>
      </c>
      <c r="J16" s="404">
        <f>IF(ISNUMBER(I16/B16),I16/B16," - ")</f>
        <v>348.28571428571428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251</v>
      </c>
      <c r="D17" s="404">
        <f>IF(ISNUMBER(C17/Datos!BH17),C17/Datos!BH17," - ")</f>
        <v>251</v>
      </c>
      <c r="E17" s="403">
        <f>IF(ISNUMBER(IF(D_I="SI",Datos!J17,Datos!J17+Datos!AD17)),IF(D_I="SI",Datos!J17,Datos!J17+Datos!AD17)," - ")</f>
        <v>719</v>
      </c>
      <c r="F17" s="404">
        <f>IF(ISNUMBER(E17/B17),E17/B17," - ")</f>
        <v>719</v>
      </c>
      <c r="G17" s="403">
        <f>IF(ISNUMBER(IF(D_I="SI",Datos!K17,Datos!K17+Datos!AE17)),IF(D_I="SI",Datos!K17,Datos!K17+Datos!AE17)," - ")</f>
        <v>686</v>
      </c>
      <c r="H17" s="404">
        <f>IF(ISNUMBER(G17/B17),G17/B17," - ")</f>
        <v>686</v>
      </c>
      <c r="I17" s="403">
        <f>IF(ISNUMBER(IF(D_I="SI",Datos!L17,Datos!L17+Datos!AF17)),IF(D_I="SI",Datos!L17,Datos!L17+Datos!AF17)," - ")</f>
        <v>179</v>
      </c>
      <c r="J17" s="404">
        <f>IF(ISNUMBER(I17/B17),I17/B17," - ")</f>
        <v>179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3230</v>
      </c>
      <c r="D18" s="850" t="str">
        <f>IF(ISNUMBER(C18/Datos!BI18),C18/Datos!BI18," - ")</f>
        <v xml:space="preserve"> - </v>
      </c>
      <c r="E18" s="849">
        <f>SUBTOTAL(9,E14:E17)</f>
        <v>8555</v>
      </c>
      <c r="F18" s="850">
        <f>IF(ISNUMBER(E18/B18),E18/B18," - ")</f>
        <v>1222.1428571428571</v>
      </c>
      <c r="G18" s="849">
        <f>SUBTOTAL(9,G14:G17)</f>
        <v>9092</v>
      </c>
      <c r="H18" s="850">
        <f>IF(ISNUMBER(G18/B18),G18/B18," - ")</f>
        <v>1298.8571428571429</v>
      </c>
      <c r="I18" s="849">
        <f>SUBTOTAL(9,I14:I17)</f>
        <v>2617</v>
      </c>
      <c r="J18" s="850">
        <f>IF(ISNUMBER(I18/B18),I18/B18," - ")</f>
        <v>373.85714285714283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7</v>
      </c>
      <c r="C19" s="794">
        <f>SUBTOTAL(9,C9:C18)</f>
        <v>11799</v>
      </c>
      <c r="D19" s="795" t="str">
        <f>IF(ISNUMBER(C19/Datos!BI19),C19/Datos!BI19," - ")</f>
        <v xml:space="preserve"> - </v>
      </c>
      <c r="E19" s="794">
        <f>SUBTOTAL(9,E9:E18)</f>
        <v>16114</v>
      </c>
      <c r="F19" s="795">
        <f>IF(ISNUMBER(E19/B19),E19/B19," - ")</f>
        <v>2302</v>
      </c>
      <c r="G19" s="794">
        <f>SUBTOTAL(9,G9:G18)</f>
        <v>17638</v>
      </c>
      <c r="H19" s="795">
        <f>IF(ISNUMBER(G19/B19),G19/B19," - ")</f>
        <v>2519.7142857142858</v>
      </c>
      <c r="I19" s="794">
        <f>SUBTOTAL(9,I9:I18)</f>
        <v>9825</v>
      </c>
      <c r="J19" s="795">
        <f>IF(ISNUMBER(I19/B19),I19/B19," - ")</f>
        <v>1403.5714285714287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G+tgAQkdWtvYZ4WZ6Fth/NTpH3/128yzLWq+rwJX73IlmQMY5ZV5F9jHL3bucGOgPegkqppDGjfv3j2ejtJBUg==" saltValue="l4mPWkqJJMypFMn0HUEK1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CIUDAD REAL</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70</v>
      </c>
      <c r="G10" s="684">
        <f>IF(ISNUMBER(Datos!I10),Datos!I10," - ")</f>
        <v>102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49</v>
      </c>
      <c r="AC10" s="683" t="str">
        <f>IF(ISNUMBER(IF(D_I="SI",DatosP!K17,DatosP!K17+DatosP!AE17)),IF(D_I="SI",DatosP!K17,DatosP!K17+DatosP!AE17)," - ")</f>
        <v xml:space="preserve"> - </v>
      </c>
      <c r="AD10" s="685"/>
      <c r="AE10" s="685"/>
      <c r="AF10" s="688">
        <f>IF(ISNUMBER(Datos!L10),Datos!L10,"-")</f>
        <v>72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28</v>
      </c>
      <c r="AM10" s="690">
        <f>IF(ISNUMBER(Datos!N10+DatosP!N17),Datos!N10+DatosP!N17," - ")</f>
        <v>14</v>
      </c>
      <c r="AN10" s="690">
        <f>IF(ISNUMBER(Datos!BW10+DatosP!BW17),Datos!BW10+DatosP!BW17," - ")</f>
        <v>0</v>
      </c>
      <c r="AO10" s="691">
        <f>IF(ISNUMBER(Datos!BX10+DatosP!BX17),Datos!BX10+DatosP!BX17," - ")</f>
        <v>0</v>
      </c>
      <c r="AP10" s="693">
        <f>IF(ISNUMBER(((Datos!L10/Datos!K10)*11)/factor_trimestre),((Datos!L10/Datos!K10)*11)/factor_trimestre," - ")</f>
        <v>16.163265306122451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1627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2635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7440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2695</v>
      </c>
      <c r="AM12" s="690">
        <f>IF(ISNUMBER(Datos!N12+DatosP!N16),Datos!N12+DatosP!N16," - ")</f>
        <v>3497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9.2380840296575251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-0.11931818181818182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70</v>
      </c>
      <c r="G13" s="938">
        <f t="shared" si="0"/>
        <v>102</v>
      </c>
      <c r="H13" s="938">
        <f t="shared" si="0"/>
        <v>0</v>
      </c>
      <c r="I13" s="940">
        <f t="shared" si="0"/>
        <v>0</v>
      </c>
      <c r="J13" s="939">
        <f t="shared" si="0"/>
        <v>0</v>
      </c>
      <c r="K13" s="939">
        <f t="shared" si="0"/>
        <v>0</v>
      </c>
      <c r="L13" s="941">
        <f t="shared" si="0"/>
        <v>0</v>
      </c>
      <c r="M13" s="941">
        <f t="shared" si="0"/>
        <v>0</v>
      </c>
      <c r="N13" s="939">
        <f t="shared" si="0"/>
        <v>1629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49</v>
      </c>
      <c r="AC13" s="939">
        <f t="shared" si="1"/>
        <v>0</v>
      </c>
      <c r="AD13" s="939">
        <f t="shared" si="1"/>
        <v>2635</v>
      </c>
      <c r="AE13" s="939">
        <f t="shared" si="1"/>
        <v>0</v>
      </c>
      <c r="AF13" s="939">
        <f t="shared" si="1"/>
        <v>72</v>
      </c>
      <c r="AG13" s="939">
        <f t="shared" si="1"/>
        <v>0</v>
      </c>
      <c r="AH13" s="939">
        <f t="shared" si="1"/>
        <v>7440</v>
      </c>
      <c r="AI13" s="939">
        <f t="shared" si="1"/>
        <v>0</v>
      </c>
      <c r="AJ13" s="939">
        <f t="shared" si="1"/>
        <v>0</v>
      </c>
      <c r="AK13" s="939">
        <f t="shared" si="1"/>
        <v>0</v>
      </c>
      <c r="AL13" s="939">
        <f t="shared" si="1"/>
        <v>2723</v>
      </c>
      <c r="AM13" s="939">
        <f t="shared" si="1"/>
        <v>3511</v>
      </c>
      <c r="AN13" s="939">
        <f t="shared" si="1"/>
        <v>0</v>
      </c>
      <c r="AO13" s="939">
        <f t="shared" si="1"/>
        <v>0</v>
      </c>
      <c r="AP13" s="944">
        <f>IF(ISNUMBER(((Datos!L13/Datos!K13)*11)/factor_trimestre),((Datos!L13/Datos!K13)*11)/factor_trimestre," - ")</f>
        <v>10.122813886713653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v>
      </c>
      <c r="AU13" s="939" t="str">
        <f>IF(ISNUMBER((DatosP!#REF!-DatosP!#REF!+DatosP!#REF!)/(DatosP!#REF!+DatosP!#REF!-DatosP!#REF!-DatosP!#REF!)),(DatosP!#REF!-DatosP!#REF!+DatosP!#REF!)/(DatosP!#REF!+DatosP!#REF!-DatosP!#REF!-DatosP!#REF!)," - ")</f>
        <v xml:space="preserve"> - </v>
      </c>
      <c r="AV13" s="945">
        <f>SUBTOTAL(9,AV9:AV12)</f>
        <v>-0.11931818181818182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3.1661900571931367</v>
      </c>
      <c r="AQ18" s="944">
        <f>IF(ISNUMBER(((Datos!M18/Datos!L18)*11)/factor_trimestre),((Datos!M18/Datos!L18)*11)/factor_trimestre," - ")</f>
        <v>5.367596484524265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0.27272727272727271</v>
      </c>
      <c r="AW18" s="946">
        <f>IF(ISNUMBER((Datos!Q18-Datos!R18)/(Datos!S18-Datos!Q18+Datos!R18)),(Datos!Q18-Datos!R18)/(Datos!S18-Datos!Q18+Datos!R18)," - ")</f>
        <v>-2.0720108695652172E-2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70</v>
      </c>
      <c r="G19" s="951">
        <f t="shared" si="4"/>
        <v>102</v>
      </c>
      <c r="H19" s="951">
        <f t="shared" si="4"/>
        <v>0</v>
      </c>
      <c r="I19" s="952">
        <f t="shared" si="4"/>
        <v>0</v>
      </c>
      <c r="J19" s="953">
        <f t="shared" si="4"/>
        <v>0</v>
      </c>
      <c r="K19" s="953">
        <f t="shared" si="4"/>
        <v>0</v>
      </c>
      <c r="L19" s="953">
        <f t="shared" si="4"/>
        <v>0</v>
      </c>
      <c r="M19" s="953">
        <f t="shared" si="4"/>
        <v>0</v>
      </c>
      <c r="N19" s="952">
        <f t="shared" si="4"/>
        <v>1629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49</v>
      </c>
      <c r="AC19" s="957">
        <f t="shared" si="5"/>
        <v>0</v>
      </c>
      <c r="AD19" s="957">
        <f t="shared" si="5"/>
        <v>2635</v>
      </c>
      <c r="AE19" s="957">
        <f t="shared" si="5"/>
        <v>0</v>
      </c>
      <c r="AF19" s="958">
        <f t="shared" si="5"/>
        <v>72</v>
      </c>
      <c r="AG19" s="958">
        <f t="shared" si="5"/>
        <v>0</v>
      </c>
      <c r="AH19" s="958">
        <f t="shared" si="5"/>
        <v>7440</v>
      </c>
      <c r="AI19" s="958">
        <f t="shared" si="5"/>
        <v>0</v>
      </c>
      <c r="AJ19" s="959">
        <f t="shared" si="5"/>
        <v>0</v>
      </c>
      <c r="AK19" s="959">
        <f t="shared" si="5"/>
        <v>0</v>
      </c>
      <c r="AL19" s="951">
        <f t="shared" si="5"/>
        <v>2723</v>
      </c>
      <c r="AM19" s="951">
        <f t="shared" si="5"/>
        <v>3511</v>
      </c>
      <c r="AN19" s="951">
        <f t="shared" si="5"/>
        <v>0</v>
      </c>
      <c r="AO19" s="951">
        <f t="shared" si="5"/>
        <v>0</v>
      </c>
      <c r="AP19" s="951">
        <f>IF(ISNUMBER(((Datos!L19/Datos!K19)*11)/factor_trimestre),((Datos!L19/Datos!K19)*11)/factor_trimestre," - ")</f>
        <v>6.3476184791691539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-0.10224326456994702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3.614784456460256</v>
      </c>
      <c r="F21" s="736">
        <f>IF(ISNUMBER(STDEV(F8:F18)),STDEV(F8:F18),"-")</f>
        <v>40.414518843273804</v>
      </c>
      <c r="G21" s="737">
        <f>IF(ISNUMBER(STDEV(G8:G18)),STDEV(G8:G18),"-")</f>
        <v>58.889727457341827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28.290163190291661</v>
      </c>
      <c r="AC21" s="738">
        <f>IF(ISNUMBER(STDEV(AC8:AC18)),STDEV(AC8:AC18),"-")</f>
        <v>0</v>
      </c>
      <c r="AD21" s="741"/>
      <c r="AE21" s="741"/>
      <c r="AF21" s="741"/>
      <c r="AG21" s="741"/>
      <c r="AH21" s="741"/>
      <c r="AI21" s="741"/>
      <c r="AJ21" s="742">
        <f>IF(ISNUMBER(STDEV(AJ8:AJ18)),STDEV(AJ8:AJ18),"-")</f>
        <v>0</v>
      </c>
      <c r="AK21" s="744"/>
      <c r="AL21" s="736">
        <f>IF(ISNUMBER(STDEV(AL8:AL18)),STDEV(AL8:AL18),"-")</f>
        <v>1556.0429514209004</v>
      </c>
      <c r="AM21" s="736"/>
      <c r="AN21" s="736">
        <f>IF(ISNUMBER(STDEV(AN8:AN18)),STDEV(AN8:AN18),"-")</f>
        <v>0</v>
      </c>
      <c r="AO21" s="742">
        <f>IF(ISNUMBER(STDEV(AO8:AO18)),STDEV(AO8:AO18),"-")</f>
        <v>0</v>
      </c>
      <c r="AP21" s="779">
        <f>IF(ISNUMBER(STDEV(AP8:AP18)),STDEV(AP8:AP18),"-")</f>
        <v>5.3183206350527747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Bs1nClfWMwlrgjSYjdIzBv5RXIo6YRuDrKWcOCcxxNbONyydTHHJbbDQniAZYEBhZFS1AYUFgBdavtco2svsNQ==" saltValue="Q1VBa/Uv72Xv4b64T+4I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CIUDAD REAL</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z1O6xqo4FXyq5LhEQtdEdJSdZKy9DRhor5OQ4Vmt8RwEm0B0IeBP9Rg4smpokqjNe/Sqc5RtEFplP0jlzlMhKw==" saltValue="/D2YeO1XwQ4FMpMsHQu8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CIUDAD REAL</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28</v>
      </c>
      <c r="E10" s="404">
        <f>IF(ISNUMBER(D10/B10),D10/B10," - ")</f>
        <v>28</v>
      </c>
      <c r="F10" s="403">
        <f>IF(ISNUMBER(Datos!N10),Datos!N10," - ")</f>
        <v>14</v>
      </c>
      <c r="G10" s="404">
        <f>IF(ISNUMBER(F10/B10),F10/B10," - ")</f>
        <v>14</v>
      </c>
      <c r="H10" s="403">
        <f>IF(ISNUMBER(Datos!O10),Datos!O10," - ")</f>
        <v>3</v>
      </c>
      <c r="I10" s="404">
        <f t="shared" ref="I10:I12" si="2">IF(ISNUMBER(H10/B10),H10/B10," - ")</f>
        <v>3</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7</v>
      </c>
      <c r="C12" s="410">
        <f>Datos!AQ12</f>
        <v>7</v>
      </c>
      <c r="D12" s="403">
        <f>IF(ISNUMBER(Datos!M12),Datos!M12," - ")</f>
        <v>2695</v>
      </c>
      <c r="E12" s="404">
        <f t="shared" si="0"/>
        <v>385</v>
      </c>
      <c r="F12" s="403">
        <f>IF(ISNUMBER(Datos!N12),Datos!N12," - ")</f>
        <v>3497</v>
      </c>
      <c r="G12" s="404">
        <f t="shared" si="1"/>
        <v>499.57142857142856</v>
      </c>
      <c r="H12" s="403">
        <f>IF(ISNUMBER(Datos!O12),Datos!O12," - ")</f>
        <v>3247</v>
      </c>
      <c r="I12" s="404">
        <f t="shared" si="2"/>
        <v>463.85714285714283</v>
      </c>
      <c r="BZ12" s="1186">
        <f>Datos!EZ12</f>
        <v>0</v>
      </c>
    </row>
    <row r="13" spans="1:78" ht="14.25" thickTop="1" thickBot="1">
      <c r="A13" s="848" t="str">
        <f>Datos!A13</f>
        <v>TOTAL</v>
      </c>
      <c r="B13" s="849">
        <f>Datos!AP13</f>
        <v>7</v>
      </c>
      <c r="C13" s="851">
        <f>Datos!AR13</f>
        <v>7</v>
      </c>
      <c r="D13" s="849">
        <f>SUBTOTAL(9,D9:D12)</f>
        <v>2723</v>
      </c>
      <c r="E13" s="850">
        <f t="shared" si="0"/>
        <v>389</v>
      </c>
      <c r="F13" s="849">
        <f>SUBTOTAL(9,F9:F12)</f>
        <v>3511</v>
      </c>
      <c r="G13" s="850">
        <f t="shared" si="1"/>
        <v>501.57142857142856</v>
      </c>
      <c r="H13" s="849">
        <f>SUBTOTAL(9,H9:H12)</f>
        <v>3250</v>
      </c>
      <c r="I13" s="850">
        <f>IF(ISNUMBER(H13/B13),H13/B13," - ")</f>
        <v>464.28571428571428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7</v>
      </c>
      <c r="C16" s="428">
        <f>Datos!AQ16</f>
        <v>7</v>
      </c>
      <c r="D16" s="403">
        <f>IF(ISNUMBER(Datos!M16),Datos!M16," - ")</f>
        <v>1173</v>
      </c>
      <c r="E16" s="404">
        <f t="shared" si="3"/>
        <v>167.57142857142858</v>
      </c>
      <c r="F16" s="403">
        <f>IF(ISNUMBER(Datos!N16),Datos!N16," - ")</f>
        <v>4406</v>
      </c>
      <c r="G16" s="404">
        <f t="shared" si="4"/>
        <v>629.42857142857144</v>
      </c>
      <c r="H16" s="403">
        <f>IF(ISNUMBER(Datos!O16),Datos!O16," - ")</f>
        <v>268</v>
      </c>
      <c r="I16" s="404">
        <f t="shared" si="5"/>
        <v>38.285714285714285</v>
      </c>
      <c r="BZ16" s="1186">
        <f>Datos!EZ16</f>
        <v>0</v>
      </c>
    </row>
    <row r="17" spans="1:78" ht="13.5" thickBot="1">
      <c r="A17" s="402" t="str">
        <f>Datos!A17</f>
        <v>Jdos. Violencia contra la mujer</v>
      </c>
      <c r="B17" s="427">
        <f>Datos!AO17</f>
        <v>1</v>
      </c>
      <c r="C17" s="428">
        <f>Datos!AQ17</f>
        <v>0</v>
      </c>
      <c r="D17" s="403">
        <f>IF(ISNUMBER(Datos!M17),Datos!M17," - ")</f>
        <v>104</v>
      </c>
      <c r="E17" s="404">
        <f>IF(ISNUMBER(D17/B17),D17/B17," - ")</f>
        <v>104</v>
      </c>
      <c r="F17" s="403">
        <f>IF(ISNUMBER(Datos!N17),Datos!N17," - ")</f>
        <v>485</v>
      </c>
      <c r="G17" s="404">
        <f>IF(ISNUMBER(F17/B17),F17/B17," - ")</f>
        <v>485</v>
      </c>
      <c r="H17" s="403">
        <f>IF(ISNUMBER(Datos!O17),Datos!O17," - ")</f>
        <v>3</v>
      </c>
      <c r="I17" s="404">
        <f t="shared" si="5"/>
        <v>3</v>
      </c>
      <c r="BZ17" s="1186">
        <f>Datos!EZ17</f>
        <v>0</v>
      </c>
    </row>
    <row r="18" spans="1:78" ht="14.25" thickTop="1" thickBot="1">
      <c r="A18" s="848" t="str">
        <f>Datos!A18</f>
        <v>TOTAL</v>
      </c>
      <c r="B18" s="849">
        <f>Datos!AP18</f>
        <v>7</v>
      </c>
      <c r="C18" s="851">
        <f>Datos!AR18</f>
        <v>7</v>
      </c>
      <c r="D18" s="849">
        <f>SUBTOTAL(9,D15:D17)</f>
        <v>1277</v>
      </c>
      <c r="E18" s="850">
        <f t="shared" si="3"/>
        <v>182.42857142857142</v>
      </c>
      <c r="F18" s="849">
        <f>SUBTOTAL(9,F15:F17)</f>
        <v>4891</v>
      </c>
      <c r="G18" s="850">
        <f t="shared" si="4"/>
        <v>698.71428571428567</v>
      </c>
      <c r="H18" s="849">
        <f>SUBTOTAL(9,H15:H17)</f>
        <v>271</v>
      </c>
      <c r="I18" s="850">
        <f>IF(ISNUMBER(H18/B18),H18/B18," - ")</f>
        <v>38.714285714285715</v>
      </c>
      <c r="BZ18" s="1186"/>
    </row>
    <row r="19" spans="1:78" ht="14.25" thickTop="1" thickBot="1">
      <c r="A19" s="793" t="str">
        <f>Datos!A19</f>
        <v>TOTAL JURISDICCIONES</v>
      </c>
      <c r="B19" s="794">
        <f>Datos!AP19</f>
        <v>7</v>
      </c>
      <c r="C19" s="794">
        <f>Datos!AR19</f>
        <v>7</v>
      </c>
      <c r="D19" s="794">
        <f>SUBTOTAL(9,D8:D18)</f>
        <v>4000</v>
      </c>
      <c r="E19" s="795">
        <f>IF(ISNUMBER(D19/B19),D19/B19," - ")</f>
        <v>571.42857142857144</v>
      </c>
      <c r="F19" s="794">
        <f>SUBTOTAL(9,F8:F18)</f>
        <v>8402</v>
      </c>
      <c r="G19" s="795">
        <f>IF(ISNUMBER(F19/B19),F19/B19," - ")</f>
        <v>1200.2857142857142</v>
      </c>
      <c r="H19" s="794">
        <f>SUBTOTAL(9,H8:H18)</f>
        <v>3521</v>
      </c>
      <c r="I19" s="795">
        <f>IF(ISNUMBER(H19/B19),H19/B19," - ")</f>
        <v>503</v>
      </c>
    </row>
    <row r="22" spans="1:78">
      <c r="A22" s="391" t="str">
        <f>Criterios!A4</f>
        <v>Fecha Informe: 28 feb. 2025</v>
      </c>
    </row>
    <row r="27" spans="1:78">
      <c r="A27" s="414"/>
    </row>
  </sheetData>
  <sheetProtection algorithmName="SHA-512" hashValue="MPS/EIgnd3bPlED35EBVPwUv1WpT67OcRtEEshYHm/eosh8YgqvOu8Fdfh4aBX7ogBL9uIhNLIs1ls6iCEp/sA==" saltValue="OnHaPFVR+K/kc+5LaMJC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CIUDAD REAL</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6</v>
      </c>
      <c r="D10" s="408">
        <f>IF(ISNUMBER(Datos!R10),Datos!R10," - ")</f>
        <v>34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1627</v>
      </c>
      <c r="C12" s="434">
        <f>IF(ISNUMBER(Datos!Q12),Datos!Q12," - ")</f>
        <v>2635</v>
      </c>
      <c r="D12" s="408">
        <f>IF(ISNUMBER(Datos!R12),Datos!R12," - ")</f>
        <v>7440</v>
      </c>
    </row>
    <row r="13" spans="1:4" ht="14.25" thickTop="1" thickBot="1">
      <c r="A13" s="848" t="str">
        <f>Datos!A13</f>
        <v>TOTAL</v>
      </c>
      <c r="B13" s="849">
        <f>SUBTOTAL(9,B9:B12)</f>
        <v>1629</v>
      </c>
      <c r="C13" s="853">
        <f>SUBTOTAL(9,C9:C12)</f>
        <v>2641</v>
      </c>
      <c r="D13" s="851">
        <f>SUBTOTAL(9,D9:D12)</f>
        <v>7474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526</v>
      </c>
      <c r="C16" s="434">
        <f>IF(ISNUMBER(Datos!Q16),Datos!Q16," - ")</f>
        <v>421</v>
      </c>
      <c r="D16" s="408">
        <f>IF(ISNUMBER(Datos!R16),Datos!R16," - ")</f>
        <v>478</v>
      </c>
    </row>
    <row r="17" spans="1:4" ht="13.5" thickBot="1">
      <c r="A17" s="402" t="str">
        <f>Datos!A17</f>
        <v>Jdos. Violencia contra la mujer</v>
      </c>
      <c r="B17" s="433">
        <f>IF(ISNUMBER(Datos!P17),Datos!P17," - ")</f>
        <v>8</v>
      </c>
      <c r="C17" s="434">
        <f>IF(ISNUMBER(Datos!Q17),Datos!Q17," - ")</f>
        <v>8</v>
      </c>
      <c r="D17" s="408">
        <f>IF(ISNUMBER(Datos!R17),Datos!R17," - ")</f>
        <v>12</v>
      </c>
    </row>
    <row r="18" spans="1:4" ht="14.25" thickTop="1" thickBot="1">
      <c r="A18" s="848" t="str">
        <f>Datos!A18</f>
        <v>TOTAL</v>
      </c>
      <c r="B18" s="849">
        <f>SUBTOTAL(9,B15:B17)</f>
        <v>534</v>
      </c>
      <c r="C18" s="853">
        <f>SUBTOTAL(9,C15:C17)</f>
        <v>429</v>
      </c>
      <c r="D18" s="851">
        <f>SUBTOTAL(9,D15:D17)</f>
        <v>490</v>
      </c>
    </row>
    <row r="19" spans="1:4" ht="16.5" customHeight="1" thickTop="1" thickBot="1">
      <c r="A19" s="793" t="str">
        <f>Datos!A19</f>
        <v>TOTAL JURISDICCIONES</v>
      </c>
      <c r="B19" s="798">
        <f>SUBTOTAL(9,B8:B18)</f>
        <v>2163</v>
      </c>
      <c r="C19" s="799">
        <f>SUBTOTAL(9,C8:C18)</f>
        <v>3070</v>
      </c>
      <c r="D19" s="800">
        <f>SUBTOTAL(9,D8:D18)</f>
        <v>7964</v>
      </c>
    </row>
    <row r="20" spans="1:4" ht="7.5" customHeight="1"/>
    <row r="21" spans="1:4" ht="6" customHeight="1"/>
    <row r="22" spans="1:4">
      <c r="A22" s="391" t="str">
        <f>Criterios!A4</f>
        <v>Fecha Informe: 28 feb. 2025</v>
      </c>
    </row>
    <row r="27" spans="1:4">
      <c r="A27" s="414"/>
    </row>
  </sheetData>
  <sheetProtection algorithmName="SHA-512" hashValue="t5RexGGKWGPzftRsRugvvFKGltNDwuyzw7h4RVXW+1tPaVOLQn96t8ZbKTvsV7YzlDEoXzoe66+7HN/XCCuy6g==" saltValue="2hs54/P/6dUbafVVlqUM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CIUDAD REAL</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-8.1081081081081086E-2</v>
      </c>
      <c r="C10" s="456">
        <f>IF(ISNUMBER((Datos!J10-Datos!T10)/Datos!T10),(Datos!J10-Datos!T10)/Datos!T10," - ")</f>
        <v>1.125</v>
      </c>
      <c r="D10" s="456">
        <f>IF(ISNUMBER((Datos!K10-Datos!U10)/Datos!U10),(Datos!K10-Datos!U10)/Datos!U10," - ")</f>
        <v>0.48484848484848486</v>
      </c>
      <c r="E10" s="456">
        <f>IF(ISNUMBER((Datos!L10-Datos!V10)/Datos!V10),(Datos!L10-Datos!V10)/Datos!V10," - ")</f>
        <v>-0.29411764705882354</v>
      </c>
      <c r="F10" s="456">
        <f>IF(ISNUMBER((Datos!M10-Datos!W10)/Datos!W10),(Datos!M10-Datos!W10)/Datos!W10," - ")</f>
        <v>0</v>
      </c>
      <c r="G10" s="457">
        <f>IF(ISNUMBER((Datos!N10-Datos!X10)/Datos!X10),(Datos!N10-Datos!X10)/Datos!X10," - ")</f>
        <v>3.6666666666666665</v>
      </c>
      <c r="H10" s="455">
        <f>IF(ISNUMBER(((NºAsuntos!G10/NºAsuntos!E10)-Datos!BD10)/Datos!BD10),((NºAsuntos!G10/NºAsuntos!E10)-Datos!BD10)/Datos!BD10," - ")</f>
        <v>-0.30124777183600709</v>
      </c>
      <c r="I10" s="456">
        <f>IF(ISNUMBER(((NºAsuntos!I10/NºAsuntos!G10)-Datos!BE10)/Datos!BE10),((NºAsuntos!I10/NºAsuntos!G10)-Datos!BE10)/Datos!BE10," - ")</f>
        <v>-0.52460984393757504</v>
      </c>
      <c r="J10" s="461">
        <f>IF(ISNUMBER((('Resol  Asuntos'!D10/NºAsuntos!G10)-Datos!BF10)/Datos!BF10),(('Resol  Asuntos'!D10/NºAsuntos!G10)-Datos!BF10)/Datos!BF10," - ")</f>
        <v>-0.32653061224489799</v>
      </c>
      <c r="K10" s="462">
        <f>IF(ISNUMBER((((NºAsuntos!C10+NºAsuntos!E10)/NºAsuntos!G10)-Datos!BG10)/Datos!BG10),(((NºAsuntos!C10+NºAsuntos!E10)/NºAsuntos!G10)-Datos!BG10)/Datos!BG10," - ")</f>
        <v>-0.23673469387755097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0.11276120383756079</v>
      </c>
      <c r="C12" s="456">
        <f>IF(ISNUMBER(
   IF(J_V="SI",(Datos!J12-Datos!T12)/Datos!T12,(Datos!J12+Datos!Z12-(Datos!T12+Datos!AH12))/(Datos!T12+Datos!AH12))
     ),IF(J_V="SI",(Datos!J12-Datos!T12)/Datos!T12,(Datos!J12+Datos!Z12-(Datos!T12+Datos!AH12))/(Datos!T12+Datos!AH12))," - ")</f>
        <v>5.5828997328083253E-2</v>
      </c>
      <c r="D12" s="456">
        <f>IF(ISNUMBER(
   IF(J_V="SI",(Datos!K12-Datos!U12)/Datos!U12,(Datos!K12+Datos!AA12-(Datos!U12+Datos!AI12))/(Datos!U12+Datos!AI12))
     ),IF(J_V="SI",(Datos!K12-Datos!U12)/Datos!U12,(Datos!K12+Datos!AA12-(Datos!U12+Datos!AI12))/(Datos!U12+Datos!AI12))," - ")</f>
        <v>0.35886774348312811</v>
      </c>
      <c r="E12" s="456">
        <f>IF(ISNUMBER(
   IF(J_V="SI",(Datos!L12-Datos!V12)/Datos!V12,(Datos!L12+Datos!AB12-(Datos!V12+Datos!AJ12))/(Datos!V12+Datos!AJ12))
     ),IF(J_V="SI",(Datos!L12-Datos!V12)/Datos!V12,(Datos!L12+Datos!AB12-(Datos!V12+Datos!AJ12))/(Datos!V12+Datos!AJ12))," - ")</f>
        <v>-0.15719853549072871</v>
      </c>
      <c r="F12" s="456">
        <f>IF(ISNUMBER((Datos!M12-Datos!W12)/Datos!W12),(Datos!M12-Datos!W12)/Datos!W12," - ")</f>
        <v>0.31720430107526881</v>
      </c>
      <c r="G12" s="457">
        <f>IF(ISNUMBER((Datos!N12-Datos!X12)/Datos!X12),(Datos!N12-Datos!X12)/Datos!X12," - ")</f>
        <v>0.54120758043190831</v>
      </c>
      <c r="H12" s="455">
        <f>IF(ISNUMBER(((NºAsuntos!G12/NºAsuntos!E12)-Datos!BD12)/Datos!BD12),((NºAsuntos!G12/NºAsuntos!E12)-Datos!BD12)/Datos!BD12," - ")</f>
        <v>0.28701498720145491</v>
      </c>
      <c r="I12" s="456">
        <f>IF(ISNUMBER(((NºAsuntos!I12/NºAsuntos!G12)-Datos!BE12)/Datos!BE12),((NºAsuntos!I12/NºAsuntos!G12)-Datos!BE12)/Datos!BE12," - ")</f>
        <v>-0.37977667911304303</v>
      </c>
      <c r="J12" s="461">
        <f>IF(ISNUMBER((('Resol  Asuntos'!D12/NºAsuntos!G12)-Datos!BF12)/Datos!BF12),(('Resol  Asuntos'!D12/NºAsuntos!G12)-Datos!BF12)/Datos!BF12," - ")</f>
        <v>-0.12592824999858659</v>
      </c>
      <c r="K12" s="462">
        <f>IF(ISNUMBER((((NºAsuntos!C12+NºAsuntos!E12)/NºAsuntos!G12)-Datos!BG12)/Datos!BG12),(((NºAsuntos!C12+NºAsuntos!E12)/NºAsuntos!G12)-Datos!BG12)/Datos!BG12," - ")</f>
        <v>-0.20135115622649424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0.1099740932642487</v>
      </c>
      <c r="C13" s="855">
        <f>IF(ISNUMBER(
   IF(J_V="SI",(Datos!J13-Datos!T13)/Datos!T13,(Datos!J13+Datos!Z13-(Datos!T13+Datos!AH13))/(Datos!T13+Datos!AH13))
     ),IF(J_V="SI",(Datos!J13-Datos!T13)/Datos!T13,(Datos!J13+Datos!Z13-(Datos!T13+Datos!AH13))/(Datos!T13+Datos!AH13))," - ")</f>
        <v>5.9425367904695166E-2</v>
      </c>
      <c r="D13" s="855">
        <f>IF(ISNUMBER(
   IF(J_V="SI",(Datos!K13-Datos!U13)/Datos!U13,(Datos!K13+Datos!AA13-(Datos!U13+Datos!AI13))/(Datos!U13+Datos!AI13))
     ),IF(J_V="SI",(Datos!K13-Datos!U13)/Datos!U13,(Datos!K13+Datos!AA13-(Datos!U13+Datos!AI13))/(Datos!U13+Datos!AI13))," - ")</f>
        <v>0.35952911231307666</v>
      </c>
      <c r="E13" s="855">
        <f>IF(ISNUMBER(
   IF(J_V="SI",(Datos!L13-Datos!V13)/Datos!V13,(Datos!L13+Datos!AB13-(Datos!V13+Datos!AJ13))/(Datos!V13+Datos!AJ13))
     ),IF(J_V="SI",(Datos!L13-Datos!V13)/Datos!V13,(Datos!L13+Datos!AB13-(Datos!V13+Datos!AJ13))/(Datos!V13+Datos!AJ13))," - ")</f>
        <v>-0.15882833469483021</v>
      </c>
      <c r="F13" s="856">
        <f>IF(ISNUMBER((Datos!M13-Datos!W13)/Datos!W13),(Datos!M13-Datos!W13)/Datos!W13," - ")</f>
        <v>0.31292189006750243</v>
      </c>
      <c r="G13" s="857">
        <f>IF(ISNUMBER((Datos!N13-Datos!X13)/Datos!X13),(Datos!N13-Datos!X13)/Datos!X13," - ")</f>
        <v>0.5453345070422535</v>
      </c>
      <c r="H13" s="857">
        <f>IF(ISNUMBER(((NºAsuntos!G13/NºAsuntos!E13)-Datos!BD13)/Datos!BD13),((NºAsuntos!G13/NºAsuntos!E13)-Datos!BD13)/Datos!BD13," - ")</f>
        <v>0.28327030246776058</v>
      </c>
      <c r="I13" s="857">
        <f>IF(ISNUMBER(((NºAsuntos!I13/NºAsuntos!G13)-Datos!BE13)/Datos!BE13),((NºAsuntos!I13/NºAsuntos!G13)-Datos!BE13)/Datos!BE13," - ")</f>
        <v>-0.3812771954003864</v>
      </c>
      <c r="J13" s="857">
        <f>IF(ISNUMBER((('Resol  Asuntos'!D13/NºAsuntos!G13)-Datos!BF13)/Datos!BF13),(('Resol  Asuntos'!D13/NºAsuntos!G13)-Datos!BF13)/Datos!BF13," - ")</f>
        <v>-0.128036844525277</v>
      </c>
      <c r="K13" s="857">
        <f>IF(ISNUMBER((((NºAsuntos!C13+NºAsuntos!E13)/NºAsuntos!G13)-Datos!BG13)/Datos!BG13),(((NºAsuntos!C13+NºAsuntos!E13)/NºAsuntos!G13)-Datos!BG13)/Datos!BG13," - ")</f>
        <v>-0.20141831290114445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0.24073302790503956</v>
      </c>
      <c r="C16" s="456">
        <f>IF(ISNUMBER(
   IF(D_I="SI",(Datos!J16-Datos!T16)/Datos!T16,(Datos!J16+Datos!AD16-(Datos!T16+Datos!AL16))/(Datos!T16+Datos!AL16))
     ),IF(D_I="SI",(Datos!J16-Datos!T16)/Datos!T16,(Datos!J16+Datos!AD16-(Datos!T16+Datos!AL16))/(Datos!T16+Datos!AL16))," - ")</f>
        <v>9.5331283198210798E-2</v>
      </c>
      <c r="D16" s="456">
        <f>IF(ISNUMBER(
   IF(D_I="SI",(Datos!K16-Datos!U16)/Datos!U16,(Datos!K16+Datos!AE16-(Datos!U16+Datos!AM16))/(Datos!U16+Datos!AM16))
     ),IF(D_I="SI",(Datos!K16-Datos!U16)/Datos!U16,(Datos!K16+Datos!AE16-(Datos!U16+Datos!AM16))/(Datos!U16+Datos!AM16))," - ")</f>
        <v>0.36438889790618406</v>
      </c>
      <c r="E16" s="456">
        <f>IF(ISNUMBER(
   IF(D_I="SI",(Datos!L16-Datos!V16)/Datos!V16,(Datos!L16+Datos!AF16-(Datos!V16+Datos!AN16))/(Datos!V16+Datos!AN16))
     ),IF(D_I="SI",(Datos!L16-Datos!V16)/Datos!V16,(Datos!L16+Datos!AF16-(Datos!V16+Datos!AN16))/(Datos!V16+Datos!AN16))," - ")</f>
        <v>-0.18160456529036589</v>
      </c>
      <c r="F16" s="456">
        <f>IF(ISNUMBER((Datos!M16-Datos!W16)/Datos!W16),(Datos!M16-Datos!W16)/Datos!W16," - ")</f>
        <v>0.26537216828478966</v>
      </c>
      <c r="G16" s="457">
        <f>IF(ISNUMBER((Datos!N16-Datos!X16)/Datos!X16),(Datos!N16-Datos!X16)/Datos!X16," - ")</f>
        <v>0.33677184466019416</v>
      </c>
      <c r="H16" s="455">
        <f>IF(ISNUMBER(((NºAsuntos!G16/NºAsuntos!E16)-Datos!BD16)/Datos!BD16),((NºAsuntos!G16/NºAsuntos!E16)-Datos!BD16)/Datos!BD16," - ")</f>
        <v>0.24564040015579894</v>
      </c>
      <c r="I16" s="456">
        <f>IF(ISNUMBER(((NºAsuntos!I16/NºAsuntos!G16)-Datos!BE16)/Datos!BE16),((NºAsuntos!I16/NºAsuntos!G16)-Datos!BE16)/Datos!BE16," - ")</f>
        <v>-0.40017436673256529</v>
      </c>
      <c r="J16" s="461">
        <f>IF(ISNUMBER((('Resol  Asuntos'!D16/NºAsuntos!G16)-Datos!BF16)/Datos!BF16),(('Resol  Asuntos'!D16/NºAsuntos!G16)-Datos!BF16)/Datos!BF16," - ")</f>
        <v>-7.2572218795790178E-2</v>
      </c>
      <c r="K16" s="462">
        <f>IF(ISNUMBER((((NºAsuntos!C16+NºAsuntos!E16)/NºAsuntos!G16)-Datos!BG16)/Datos!BG16),(((NºAsuntos!C16+NºAsuntos!E16)/NºAsuntos!G16)-Datos!BG16)/Datos!BG16," - ")</f>
        <v>-0.17042118005715426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-0.47925311203319504</v>
      </c>
      <c r="C17" s="456">
        <f>IF(ISNUMBER(
   IF(D_I="SI",(Datos!J17-Datos!T17)/Datos!T17,(Datos!J17+Datos!AD17-(Datos!T17+Datos!AL17))/(Datos!T17+Datos!AL17))
     ),IF(D_I="SI",(Datos!J17-Datos!T17)/Datos!T17,(Datos!J17+Datos!AD17-(Datos!T17+Datos!AL17))/(Datos!T17+Datos!AL17))," - ")</f>
        <v>-2.7063599458728011E-2</v>
      </c>
      <c r="D17" s="456">
        <f>IF(ISNUMBER(
   IF(D_I="SI",(Datos!K17-Datos!U17)/Datos!U17,(Datos!K17+Datos!AE17-(Datos!U17+Datos!AM17))/(Datos!U17+Datos!AM17))
     ),IF(D_I="SI",(Datos!K17-Datos!U17)/Datos!U17,(Datos!K17+Datos!AE17-(Datos!U17+Datos!AM17))/(Datos!U17+Datos!AM17))," - ")</f>
        <v>-0.12944162436548223</v>
      </c>
      <c r="E17" s="456">
        <f>IF(ISNUMBER(
   IF(D_I="SI",(Datos!L17-Datos!V17)/Datos!V17,(Datos!L17+Datos!AF17-(Datos!V17+Datos!AN17))/(Datos!V17+Datos!AN17))
     ),IF(D_I="SI",(Datos!L17-Datos!V17)/Datos!V17,(Datos!L17+Datos!AF17-(Datos!V17+Datos!AN17))/(Datos!V17+Datos!AN17))," - ")</f>
        <v>-0.28685258964143429</v>
      </c>
      <c r="F17" s="456">
        <f>IF(ISNUMBER((Datos!M17-Datos!W17)/Datos!W17),(Datos!M17-Datos!W17)/Datos!W17," - ")</f>
        <v>-1.8867924528301886E-2</v>
      </c>
      <c r="G17" s="457">
        <f>IF(ISNUMBER((Datos!N17-Datos!X17)/Datos!X17),(Datos!N17-Datos!X17)/Datos!X17," - ")</f>
        <v>5.434782608695652E-2</v>
      </c>
      <c r="H17" s="455">
        <f>IF(ISNUMBER(((NºAsuntos!G17/NºAsuntos!E17)-Datos!BD17)/Datos!BD17),((NºAsuntos!G17/NºAsuntos!E17)-Datos!BD17)/Datos!BD17," - ")</f>
        <v>-0.105225814194842</v>
      </c>
      <c r="I17" s="456">
        <f>IF(ISNUMBER(((NºAsuntos!I17/NºAsuntos!G17)-Datos!BE17)/Datos!BE17),((NºAsuntos!I17/NºAsuntos!G17)-Datos!BE17)/Datos!BE17," - ")</f>
        <v>-0.18081609422368836</v>
      </c>
      <c r="J17" s="461">
        <f>IF(ISNUMBER((('Resol  Asuntos'!D17/NºAsuntos!G17)-Datos!BF17)/Datos!BF17),(('Resol  Asuntos'!D17/NºAsuntos!G17)-Datos!BF17)/Datos!BF17," - ")</f>
        <v>0.12701468727652804</v>
      </c>
      <c r="K17" s="462">
        <f>IF(ISNUMBER((((NºAsuntos!C17+NºAsuntos!E17)/NºAsuntos!G17)-Datos!BG17)/Datos!BG17),(((NºAsuntos!C17+NºAsuntos!E17)/NºAsuntos!G17)-Datos!BG17)/Datos!BG17," - ")</f>
        <v>-8.7446842548883311E-2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0.1203607353451266</v>
      </c>
      <c r="C18" s="855">
        <f>IF(ISNUMBER(
   IF(Criterios!B14="SI",(Datos!J18-Datos!T18)/Datos!T18,(Datos!J18+Datos!AD18-(Datos!T18+Datos!AL18))/(Datos!T18+Datos!AL18))
     ),IF(Criterios!B14="SI",(Datos!J18-Datos!T18)/Datos!T18,(Datos!J18+Datos!AD18-(Datos!T18+Datos!AL18))/(Datos!T18+Datos!AL18))," - ")</f>
        <v>8.3871785126061069E-2</v>
      </c>
      <c r="D18" s="855">
        <f>IF(ISNUMBER(
   IF(Criterios!B14="SI",(Datos!K18-Datos!U18)/Datos!U18,(Datos!K18+Datos!AE18-(Datos!U18+Datos!AM18))/(Datos!U18+Datos!AM18))
     ),IF(Criterios!B14="SI",(Datos!K18-Datos!U18)/Datos!U18,(Datos!K18+Datos!AE18-(Datos!U18+Datos!AM18))/(Datos!U18+Datos!AM18))," - ")</f>
        <v>0.30838969635918839</v>
      </c>
      <c r="E18" s="855">
        <f>IF(ISNUMBER(
   IF(Criterios!B14="SI",(Datos!L18-Datos!V18)/Datos!V18,(Datos!L18+Datos!AF18-(Datos!V18+Datos!AN18))/(Datos!V18+Datos!AN18))
     ),IF(Criterios!B14="SI",(Datos!L18-Datos!V18)/Datos!V18,(Datos!L18+Datos!AF18-(Datos!V18+Datos!AN18))/(Datos!V18+Datos!AN18))," - ")</f>
        <v>-0.18978328173374612</v>
      </c>
      <c r="F18" s="856">
        <f>IF(ISNUMBER((Datos!M18-Datos!W18)/Datos!W18),(Datos!M18-Datos!W18)/Datos!W18," - ")</f>
        <v>0.23620522749273959</v>
      </c>
      <c r="G18" s="857">
        <f>IF(ISNUMBER((Datos!N18-Datos!X18)/Datos!X18),(Datos!N18-Datos!X18)/Datos!X18," - ")</f>
        <v>0.30218317358892438</v>
      </c>
      <c r="H18" s="857">
        <f>IF(ISNUMBER(((NºAsuntos!G18/NºAsuntos!E18)-Datos!BD18)/Datos!BD18),((NºAsuntos!G18/NºAsuntos!E18)-Datos!BD18)/Datos!BD18," - ")</f>
        <v>0.2071443452206983</v>
      </c>
      <c r="I18" s="857">
        <f>IF(ISNUMBER(((NºAsuntos!I18/NºAsuntos!G18)-Datos!BE18)/Datos!BE18),((NºAsuntos!I18/NºAsuntos!G18)-Datos!BE18)/Datos!BE18," - ")</f>
        <v>-0.38075275239417095</v>
      </c>
      <c r="J18" s="857">
        <f>IF(ISNUMBER((('Resol  Asuntos'!D18/NºAsuntos!G18)-Datos!BF18)/Datos!BF18),(('Resol  Asuntos'!D18/NºAsuntos!G18)-Datos!BF18)/Datos!BF18," - ")</f>
        <v>-5.5170465700940564E-2</v>
      </c>
      <c r="K18" s="857">
        <f>IF(ISNUMBER((((NºAsuntos!C18+NºAsuntos!E18)/NºAsuntos!G18)-Datos!BG18)/Datos!BG18),(((NºAsuntos!C18+NºAsuntos!E18)/NºAsuntos!G18)-Datos!BG18)/Datos!BG18," - ")</f>
        <v>-0.16413740911595434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0.11279826464208242</v>
      </c>
      <c r="C19" s="802">
        <f>IF(ISNUMBER(
   IF(J_V="SI",(Datos!J19-Datos!T19)/Datos!T19,(Datos!J19+Datos!Z19-(Datos!T19+Datos!AH19))/(Datos!T19+Datos!AH19))
     ),IF(J_V="SI",(Datos!J19-Datos!T19)/Datos!T19,(Datos!J19+Datos!Z19-(Datos!T19+Datos!AH19))/(Datos!T19+Datos!AH19))," - ")</f>
        <v>7.2265105137077457E-2</v>
      </c>
      <c r="D19" s="802">
        <f>IF(ISNUMBER(
   IF(J_V="SI",(Datos!K19-Datos!U19)/Datos!U19,(Datos!K19+Datos!AA19-(Datos!U19+Datos!AI19))/(Datos!U19+Datos!AI19))
     ),IF(J_V="SI",(Datos!K19-Datos!U19)/Datos!U19,(Datos!K19+Datos!AA19-(Datos!U19+Datos!AI19))/(Datos!U19+Datos!AI19))," - ")</f>
        <v>0.3326785039667548</v>
      </c>
      <c r="E19" s="802">
        <f>IF(ISNUMBER(
   IF(J_V="SI",(Datos!L19-Datos!V19)/Datos!V19,(Datos!L19+Datos!AB19-(Datos!V19+Datos!AJ19))/(Datos!V19+Datos!AJ19))
     ),IF(J_V="SI",(Datos!L19-Datos!V19)/Datos!V19,(Datos!L19+Datos!AB19-(Datos!V19+Datos!AJ19))/(Datos!V19+Datos!AJ19))," - ")</f>
        <v>-0.167302313755403</v>
      </c>
      <c r="F19" s="803">
        <f>IF(ISNUMBER((Datos!M19-Datos!W19)/Datos!W19),(Datos!M19-Datos!W19)/Datos!W19," - ")</f>
        <v>0.28741551335693594</v>
      </c>
      <c r="G19" s="804">
        <f>IF(ISNUMBER((Datos!N19-Datos!X19)/Datos!X19),(Datos!N19-Datos!X19)/Datos!X19," - ")</f>
        <v>0.39382879893828798</v>
      </c>
      <c r="H19" s="805">
        <f>IF(ISNUMBER((Tasas!B19-Datos!BD19)/Datos!BD19),(Tasas!B19-Datos!BD19)/Datos!BD19," - ")</f>
        <v>0.24286288678244958</v>
      </c>
      <c r="I19" s="806">
        <f>IF(ISNUMBER((Tasas!C19-Datos!BE19)/Datos!BE19),(Tasas!C19-Datos!BE19)/Datos!BE19," - ")</f>
        <v>-0.37516986747662762</v>
      </c>
      <c r="J19" s="807">
        <f>IF(ISNUMBER((Tasas!D19-Datos!BF19)/Datos!BF19),(Tasas!D19-Datos!BF19)/Datos!BF19," - ")</f>
        <v>-9.8656429419554562E-2</v>
      </c>
      <c r="K19" s="807">
        <f>IF(ISNUMBER((Tasas!E19-Datos!BG19)/Datos!BG19),(Tasas!E19-Datos!BG19)/Datos!BG19," - ")</f>
        <v>-0.18282405802458074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g9Lwba4eDHMOmphCD3k6gRINhJmZEW2i2h8d4tdHz0Yasgsd2aiIBAX1BYgWgglurPBHwD0IZJdOG2mHiNBYVA==" saltValue="ErCkW7xfEB0UkMHlmZ4E4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CIUDAD REAL</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0.96078431372549022</v>
      </c>
      <c r="C10" s="443">
        <f>IF(ISNUMBER(NºAsuntos!I10/NºAsuntos!G10),NºAsuntos!I10/NºAsuntos!G10," - ")</f>
        <v>1.4693877551020409</v>
      </c>
      <c r="D10" s="444">
        <f>IF(ISNUMBER('Resol  Asuntos'!D10/NºAsuntos!G10),'Resol  Asuntos'!D10/NºAsuntos!G10," - ")</f>
        <v>0.5714285714285714</v>
      </c>
      <c r="E10" s="445">
        <f>IF(ISNUMBER((NºAsuntos!C10+NºAsuntos!E10)/NºAsuntos!G10),(NºAsuntos!C10+NºAsuntos!E10)/NºAsuntos!G10," - ")</f>
        <v>3.1224489795918369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1.1317261587639851</v>
      </c>
      <c r="C12" s="443">
        <f>IF(ISNUMBER(NºAsuntos!I12/NºAsuntos!G12),NºAsuntos!I12/NºAsuntos!G12," - ")</f>
        <v>0.83982582087795687</v>
      </c>
      <c r="D12" s="444">
        <f>IF(ISNUMBER('Resol  Asuntos'!D12/NºAsuntos!G12),'Resol  Asuntos'!D12/NºAsuntos!G12," - ")</f>
        <v>0.3171707661527598</v>
      </c>
      <c r="E12" s="445">
        <f>IF(ISNUMBER((NºAsuntos!C12+NºAsuntos!E12)/NºAsuntos!G12),(NºAsuntos!C12+NºAsuntos!E12)/NºAsuntos!G12," - ")</f>
        <v>1.880075320701424</v>
      </c>
      <c r="G12" s="463"/>
    </row>
    <row r="13" spans="1:7" ht="14.25" thickTop="1" thickBot="1">
      <c r="A13" s="848" t="str">
        <f>Datos!A13</f>
        <v>TOTAL</v>
      </c>
      <c r="B13" s="858">
        <f>IF(ISNUMBER(NºAsuntos!G13/NºAsuntos!E13),NºAsuntos!G13/NºAsuntos!E13," - ")</f>
        <v>1.1305728270935309</v>
      </c>
      <c r="C13" s="859">
        <f>IF(ISNUMBER(NºAsuntos!I13/NºAsuntos!G13),NºAsuntos!I13/NºAsuntos!G13," - ")</f>
        <v>0.84343552539199629</v>
      </c>
      <c r="D13" s="860">
        <f>IF(ISNUMBER('Resol  Asuntos'!D13/NºAsuntos!G13),'Resol  Asuntos'!D13/NºAsuntos!G13," - ")</f>
        <v>0.31862859817458461</v>
      </c>
      <c r="E13" s="861">
        <f>IF(ISNUMBER((NºAsuntos!C13+NºAsuntos!E13)/NºAsuntos!G13),(NºAsuntos!C13+NºAsuntos!E13)/NºAsuntos!G13," - ")</f>
        <v>1.8871986894453545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1.0727411944869831</v>
      </c>
      <c r="C16" s="443">
        <f>IF(ISNUMBER(NºAsuntos!I16/NºAsuntos!G16),NºAsuntos!I16/NºAsuntos!G16," - ")</f>
        <v>0.29003093028788962</v>
      </c>
      <c r="D16" s="444">
        <f>IF(ISNUMBER('Resol  Asuntos'!D16/NºAsuntos!G16),'Resol  Asuntos'!D16/NºAsuntos!G16," - ")</f>
        <v>0.1395431834403997</v>
      </c>
      <c r="E16" s="445">
        <f>IF(ISNUMBER((NºAsuntos!C16+NºAsuntos!E16)/NºAsuntos!G16),(NºAsuntos!C16+NºAsuntos!E16)/NºAsuntos!G16," - ")</f>
        <v>1.2865810135617417</v>
      </c>
      <c r="G16" s="463"/>
    </row>
    <row r="17" spans="1:7" ht="13.5" thickBot="1">
      <c r="A17" s="402" t="str">
        <f>Datos!A17</f>
        <v>Jdos. Violencia contra la mujer</v>
      </c>
      <c r="B17" s="442">
        <f>IF(ISNUMBER(NºAsuntos!G17/NºAsuntos!E17),NºAsuntos!G17/NºAsuntos!E17," - ")</f>
        <v>0.95410292072322667</v>
      </c>
      <c r="C17" s="443">
        <f>IF(ISNUMBER(NºAsuntos!I17/NºAsuntos!G17),NºAsuntos!I17/NºAsuntos!G17," - ")</f>
        <v>0.26093294460641397</v>
      </c>
      <c r="D17" s="444">
        <f>IF(ISNUMBER('Resol  Asuntos'!D17/NºAsuntos!G17),'Resol  Asuntos'!D17/NºAsuntos!G17," - ")</f>
        <v>0.15160349854227406</v>
      </c>
      <c r="E17" s="445">
        <f>IF(ISNUMBER((NºAsuntos!C17+NºAsuntos!E17)/NºAsuntos!G17),(NºAsuntos!C17+NºAsuntos!E17)/NºAsuntos!G17," - ")</f>
        <v>1.4139941690962099</v>
      </c>
      <c r="G17" s="463"/>
    </row>
    <row r="18" spans="1:7" ht="14.25" thickTop="1" thickBot="1">
      <c r="A18" s="848" t="str">
        <f>Datos!A18</f>
        <v>TOTAL</v>
      </c>
      <c r="B18" s="858">
        <f>IF(ISNUMBER(NºAsuntos!G18/NºAsuntos!E18),NºAsuntos!G18/NºAsuntos!E18," - ")</f>
        <v>1.062770309760374</v>
      </c>
      <c r="C18" s="859">
        <f>IF(ISNUMBER(NºAsuntos!I18/NºAsuntos!G18),NºAsuntos!I18/NºAsuntos!G18," - ")</f>
        <v>0.2878354597448306</v>
      </c>
      <c r="D18" s="862">
        <f>IF(ISNUMBER('Resol  Asuntos'!D18/NºAsuntos!G18),'Resol  Asuntos'!D18/NºAsuntos!G18," - ")</f>
        <v>0.14045314562252531</v>
      </c>
      <c r="E18" s="861">
        <f>IF(ISNUMBER((NºAsuntos!C18+NºAsuntos!E18)/NºAsuntos!G18),(NºAsuntos!C18+NºAsuntos!E18)/NºAsuntos!G18," - ")</f>
        <v>1.2961944566652002</v>
      </c>
      <c r="G18" s="463"/>
    </row>
    <row r="19" spans="1:7" ht="15.75" customHeight="1" thickTop="1" thickBot="1">
      <c r="A19" s="793" t="str">
        <f>Datos!A19</f>
        <v>TOTAL JURISDICCIONES</v>
      </c>
      <c r="B19" s="808">
        <f>IF(ISNUMBER(NºAsuntos!G19/NºAsuntos!E19),NºAsuntos!G19/NºAsuntos!E19," - ")</f>
        <v>1.0945761449671094</v>
      </c>
      <c r="C19" s="809">
        <f>IF(ISNUMBER(NºAsuntos!I19/NºAsuntos!G19),NºAsuntos!I19/NºAsuntos!G19," - ")</f>
        <v>0.55703594511849419</v>
      </c>
      <c r="D19" s="810">
        <f>IF(ISNUMBER('Resol  Asuntos'!D19/NºAsuntos!G19),'Resol  Asuntos'!D19/NºAsuntos!G19," - ")</f>
        <v>0.22678308198208413</v>
      </c>
      <c r="E19" s="811">
        <f>IF(ISNUMBER((NºAsuntos!C19+NºAsuntos!E19)/NºAsuntos!G19),(NºAsuntos!C19+NºAsuntos!E19)/NºAsuntos!G19," - ")</f>
        <v>1.5825490418414787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Q1pj8Y+/rWH9uYazUa4Z+LWS37tkcSv72fdxpp+ZCVPhSBHRNbUT13+4pLlsDcwmNyGp7FR4bAsYJpYOYH6dA==" saltValue="jFonCKcbLcp5A86c4iVA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CIUDAD REAL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70</v>
      </c>
      <c r="G10" s="333">
        <f>IF(ISNUMBER(Datos!I10),Datos!I10," - ")</f>
        <v>102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49</v>
      </c>
      <c r="X10" s="226">
        <f>IF(ISNUMBER(Datos!Q10),Datos!Q10," - ")</f>
        <v>6</v>
      </c>
      <c r="Y10" s="334">
        <f t="shared" ref="Y10:Y12" si="0">SUM(W10:X10)</f>
        <v>55</v>
      </c>
      <c r="Z10" s="335" t="str">
        <f>IF(ISNUMBER(Datos!CC10),Datos!CC10," - ")</f>
        <v xml:space="preserve"> - </v>
      </c>
      <c r="AA10" s="332">
        <f>IF(ISNUMBER(Datos!L10),Datos!L10,"-")</f>
        <v>72</v>
      </c>
      <c r="AB10" s="334">
        <f>IF(ISNUMBER(Datos!R10),Datos!R10," - ")</f>
        <v>34</v>
      </c>
      <c r="AC10" s="334">
        <f t="shared" ref="AC10:AC12" si="1">IF(ISNUMBER(AA10+AB10),AA10+AB10," - ")</f>
        <v>106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28</v>
      </c>
      <c r="AJ10" s="231" t="str">
        <f>IF(ISNUMBER(Datos!BW10),Datos!BW10," - ")</f>
        <v xml:space="preserve"> - </v>
      </c>
      <c r="AK10" s="232" t="str">
        <f>IF(ISNUMBER(Datos!BX10),Datos!BX10," - ")</f>
        <v xml:space="preserve"> - </v>
      </c>
      <c r="AL10" s="243">
        <f>IF(ISNUMBER(NºAsuntos!G10/NºAsuntos!E10),NºAsuntos!G10/NºAsuntos!E10," - ")</f>
        <v>0.96078431372549022</v>
      </c>
      <c r="AM10" s="260">
        <f>IF(ISNUMBER(((NºAsuntos!I10/NºAsuntos!G10)*11)/factor_trimestre),((NºAsuntos!I10/NºAsuntos!G10)*11)/factor_trimestre," - ")</f>
        <v>16.163265306122451</v>
      </c>
      <c r="AN10" s="244">
        <f>IF(ISNUMBER('Resol  Asuntos'!D10/NºAsuntos!G10),'Resol  Asuntos'!D10/NºAsuntos!G10," - ")</f>
        <v>0.5714285714285714</v>
      </c>
      <c r="AO10" s="245">
        <f>IF(ISNUMBER((NºAsuntos!C10+NºAsuntos!E10)/NºAsuntos!G10),(NºAsuntos!C10+NºAsuntos!E10)/NºAsuntos!G10," - ")</f>
        <v>3.1224489795918369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1627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2635</v>
      </c>
      <c r="Y12" s="334">
        <f t="shared" si="0"/>
        <v>2635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7440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2695</v>
      </c>
      <c r="AJ12" s="229" t="str">
        <f>IF(ISNUMBER(Datos!BW12),Datos!BW12," - ")</f>
        <v xml:space="preserve"> - </v>
      </c>
      <c r="AK12" s="228" t="str">
        <f>IF(ISNUMBER(Datos!BX12),Datos!BX12," - ")</f>
        <v xml:space="preserve"> - </v>
      </c>
      <c r="AL12" s="243">
        <f>IF(ISNUMBER(NºAsuntos!G12/NºAsuntos!E12),NºAsuntos!G12/NºAsuntos!E12," - ")</f>
        <v>1.1317261587639851</v>
      </c>
      <c r="AM12" s="260">
        <f>IF(ISNUMBER(((NºAsuntos!I12/NºAsuntos!G12)*11)/factor_trimestre),((NºAsuntos!I12/NºAsuntos!G12)*11)/factor_trimestre," - ")</f>
        <v>9.2380840296575251</v>
      </c>
      <c r="AN12" s="244">
        <f>IF(ISNUMBER('Resol  Asuntos'!D12/NºAsuntos!G12),'Resol  Asuntos'!D12/NºAsuntos!G12," - ")</f>
        <v>0.3171707661527598</v>
      </c>
      <c r="AO12" s="245">
        <f>IF(ISNUMBER((NºAsuntos!C12+NºAsuntos!E12)/NºAsuntos!G12),(NºAsuntos!C12+NºAsuntos!E12)/NºAsuntos!G12," - ")</f>
        <v>1.880075320701424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70</v>
      </c>
      <c r="G13" s="866">
        <f t="shared" si="3"/>
        <v>102</v>
      </c>
      <c r="H13" s="865">
        <f t="shared" si="3"/>
        <v>0</v>
      </c>
      <c r="I13" s="867">
        <f t="shared" si="3"/>
        <v>0</v>
      </c>
      <c r="J13" s="867">
        <f t="shared" si="3"/>
        <v>0</v>
      </c>
      <c r="K13" s="867">
        <f t="shared" si="3"/>
        <v>0</v>
      </c>
      <c r="L13" s="867">
        <f t="shared" si="3"/>
        <v>1629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49</v>
      </c>
      <c r="X13" s="867">
        <f t="shared" si="4"/>
        <v>2641</v>
      </c>
      <c r="Y13" s="868">
        <f t="shared" si="4"/>
        <v>2690</v>
      </c>
      <c r="Z13" s="868">
        <f t="shared" si="4"/>
        <v>0</v>
      </c>
      <c r="AA13" s="868">
        <f t="shared" si="4"/>
        <v>72</v>
      </c>
      <c r="AB13" s="868">
        <f t="shared" si="4"/>
        <v>7474</v>
      </c>
      <c r="AC13" s="868">
        <f t="shared" si="4"/>
        <v>106</v>
      </c>
      <c r="AD13" s="868">
        <f t="shared" si="4"/>
        <v>0</v>
      </c>
      <c r="AE13" s="872">
        <f t="shared" si="4"/>
        <v>0</v>
      </c>
      <c r="AF13" s="865">
        <f t="shared" si="4"/>
        <v>0</v>
      </c>
      <c r="AG13" s="873">
        <f t="shared" si="4"/>
        <v>0</v>
      </c>
      <c r="AH13" s="870">
        <f t="shared" si="4"/>
        <v>0</v>
      </c>
      <c r="AI13" s="865">
        <f t="shared" si="4"/>
        <v>2723</v>
      </c>
      <c r="AJ13" s="867">
        <f t="shared" si="4"/>
        <v>0</v>
      </c>
      <c r="AK13" s="870">
        <f>SUBTOTAL(9,AK9:AK12)</f>
        <v>0</v>
      </c>
      <c r="AL13" s="874">
        <f>IF(ISNUMBER(NºAsuntos!G13/NºAsuntos!E13),NºAsuntos!G13/NºAsuntos!E13," - ")</f>
        <v>1.1305728270935309</v>
      </c>
      <c r="AM13" s="874">
        <f>IF(ISNUMBER(((NºAsuntos!I13/NºAsuntos!G13)*11)/factor_trimestre),((NºAsuntos!I13/NºAsuntos!G13)*11)/factor_trimestre," - ")</f>
        <v>9.2777907793119585</v>
      </c>
      <c r="AN13" s="875">
        <f>IF(ISNUMBER('Resol  Asuntos'!D13/NºAsuntos!G13),'Resol  Asuntos'!D13/NºAsuntos!G13," - ")</f>
        <v>0.31862859817458461</v>
      </c>
      <c r="AO13" s="876">
        <f>IF(ISNUMBER((NºAsuntos!C13+NºAsuntos!E13)/NºAsuntos!G13),(NºAsuntos!C13+NºAsuntos!E13)/NºAsuntos!G13," - ")</f>
        <v>1.8871986894453545</v>
      </c>
      <c r="AP13" s="877" t="str">
        <f t="shared" si="2"/>
        <v xml:space="preserve"> - </v>
      </c>
      <c r="AQ13" s="877">
        <f>IF(ISNUMBER((H13-W13+K13)/(F13)),(H13-W13+K13)/(F13)," - ")</f>
        <v>-0.7</v>
      </c>
      <c r="AR13" s="878">
        <f>IF(ISNUMBER((Datos!P13-Datos!Q13)/(Datos!R13-Datos!P13+Datos!Q13)),(Datos!P13-Datos!Q13)/(Datos!R13-Datos!P13+Datos!Q13)," - ")</f>
        <v>-0.11925524393118077</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3008</v>
      </c>
      <c r="G16" s="333">
        <f>IF(ISNUMBER(IF(D_I="SI",Datos!I16,Datos!I16+Datos!AC16)),IF(D_I="SI",Datos!I16,Datos!I16+Datos!AC16)," - ")</f>
        <v>2979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526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8406</v>
      </c>
      <c r="X16" s="226">
        <f>IF(ISNUMBER(Datos!Q16),Datos!Q16," - ")</f>
        <v>421</v>
      </c>
      <c r="Y16" s="334">
        <f t="shared" ref="Y16:Y17" si="7">SUM(W16:X16)</f>
        <v>8827</v>
      </c>
      <c r="Z16" s="335" t="str">
        <f>IF(ISNUMBER(Datos!CC16),Datos!CC16," - ")</f>
        <v xml:space="preserve"> - </v>
      </c>
      <c r="AA16" s="332">
        <f>IF(ISNUMBER(IF(D_I="SI",Datos!L16,Datos!L16+Datos!AF16)),IF(D_I="SI",Datos!L16,Datos!L16+Datos!AF16)," - ")</f>
        <v>2438</v>
      </c>
      <c r="AB16" s="334">
        <f>IF(ISNUMBER(Datos!R16),Datos!R16," - ")</f>
        <v>478</v>
      </c>
      <c r="AC16" s="334">
        <f t="shared" si="6"/>
        <v>2916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1173</v>
      </c>
      <c r="AJ16" s="231" t="str">
        <f>IF(ISNUMBER(Datos!BW16),Datos!BW16," - ")</f>
        <v xml:space="preserve"> - </v>
      </c>
      <c r="AK16" s="232" t="str">
        <f>IF(ISNUMBER(Datos!BX16),Datos!BX16," - ")</f>
        <v xml:space="preserve"> - </v>
      </c>
      <c r="AL16" s="243">
        <f>IF(ISNUMBER(NºAsuntos!G16/NºAsuntos!E16),NºAsuntos!G16/NºAsuntos!E16," - ")</f>
        <v>1.0727411944869831</v>
      </c>
      <c r="AM16" s="260">
        <f>IF(ISNUMBER(((NºAsuntos!I16/NºAsuntos!G16)*11)/factor_trimestre),((NºAsuntos!I16/NºAsuntos!G16)*11)/factor_trimestre," - ")</f>
        <v>3.1903402331667858</v>
      </c>
      <c r="AN16" s="244">
        <f>IF(ISNUMBER('Resol  Asuntos'!D16/NºAsuntos!G16),'Resol  Asuntos'!D16/NºAsuntos!G16," - ")</f>
        <v>0.1395431834403997</v>
      </c>
      <c r="AO16" s="245">
        <f>IF(ISNUMBER((NºAsuntos!C16+NºAsuntos!E16)/NºAsuntos!G16),(NºAsuntos!C16+NºAsuntos!E16)/NºAsuntos!G16," - ")</f>
        <v>1.2865810135617417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251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8</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686</v>
      </c>
      <c r="X17" s="226">
        <f>IF(ISNUMBER(Datos!Q17),Datos!Q17," - ")</f>
        <v>8</v>
      </c>
      <c r="Y17" s="334">
        <f t="shared" si="7"/>
        <v>694</v>
      </c>
      <c r="Z17" s="335" t="str">
        <f>IF(ISNUMBER(Datos!CC17),Datos!CC17," - ")</f>
        <v xml:space="preserve"> - </v>
      </c>
      <c r="AA17" s="332">
        <f>IF(ISNUMBER(Datos!L17),Datos!L17,"-")</f>
        <v>179</v>
      </c>
      <c r="AB17" s="334">
        <f>IF(ISNUMBER(Datos!R17),Datos!R17," - ")</f>
        <v>12</v>
      </c>
      <c r="AC17" s="334">
        <f t="shared" si="6"/>
        <v>191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104</v>
      </c>
      <c r="AJ17" s="231" t="str">
        <f>IF(ISNUMBER(Datos!BW17),Datos!BW17," - ")</f>
        <v xml:space="preserve"> - </v>
      </c>
      <c r="AK17" s="232" t="str">
        <f>IF(ISNUMBER(Datos!BX17),Datos!BX17," - ")</f>
        <v xml:space="preserve"> - </v>
      </c>
      <c r="AL17" s="243">
        <f>IF(ISNUMBER(NºAsuntos!G17/NºAsuntos!E17),NºAsuntos!G17/NºAsuntos!E17," - ")</f>
        <v>0.95410292072322667</v>
      </c>
      <c r="AM17" s="260">
        <f>IF(ISNUMBER(((NºAsuntos!I17/NºAsuntos!G17)*11)/factor_trimestre),((NºAsuntos!I17/NºAsuntos!G17)*11)/factor_trimestre," - ")</f>
        <v>2.8702623906705536</v>
      </c>
      <c r="AN17" s="244">
        <f>IF(ISNUMBER('Resol  Asuntos'!D17/NºAsuntos!G17),'Resol  Asuntos'!D17/NºAsuntos!G17," - ")</f>
        <v>0.15160349854227406</v>
      </c>
      <c r="AO17" s="245">
        <f>IF(ISNUMBER((NºAsuntos!C17+NºAsuntos!E17)/NºAsuntos!G17),(NºAsuntos!C17+NºAsuntos!E17)/NºAsuntos!G17," - ")</f>
        <v>1.4139941690962099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3008</v>
      </c>
      <c r="G18" s="866">
        <f>SUBTOTAL(9,G15:G17)</f>
        <v>3230</v>
      </c>
      <c r="H18" s="865">
        <f t="shared" ref="H18:O18" si="10">SUBTOTAL(9,H14:H17)</f>
        <v>0</v>
      </c>
      <c r="I18" s="867">
        <f t="shared" si="10"/>
        <v>0</v>
      </c>
      <c r="J18" s="867">
        <f t="shared" si="10"/>
        <v>0</v>
      </c>
      <c r="K18" s="867">
        <f t="shared" si="10"/>
        <v>0</v>
      </c>
      <c r="L18" s="867">
        <f t="shared" si="10"/>
        <v>534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9092</v>
      </c>
      <c r="X18" s="867">
        <f t="shared" si="11"/>
        <v>429</v>
      </c>
      <c r="Y18" s="868">
        <f t="shared" si="11"/>
        <v>9521</v>
      </c>
      <c r="Z18" s="868">
        <f t="shared" si="11"/>
        <v>0</v>
      </c>
      <c r="AA18" s="868">
        <f t="shared" si="11"/>
        <v>2617</v>
      </c>
      <c r="AB18" s="868">
        <f t="shared" si="11"/>
        <v>490</v>
      </c>
      <c r="AC18" s="868">
        <f t="shared" si="11"/>
        <v>3107</v>
      </c>
      <c r="AD18" s="868">
        <f t="shared" si="11"/>
        <v>0</v>
      </c>
      <c r="AE18" s="872">
        <f t="shared" si="11"/>
        <v>0</v>
      </c>
      <c r="AF18" s="865">
        <f t="shared" si="11"/>
        <v>0</v>
      </c>
      <c r="AG18" s="873">
        <f t="shared" si="11"/>
        <v>0</v>
      </c>
      <c r="AH18" s="870">
        <f t="shared" si="11"/>
        <v>0</v>
      </c>
      <c r="AI18" s="865">
        <f t="shared" si="11"/>
        <v>1277</v>
      </c>
      <c r="AJ18" s="867">
        <f t="shared" si="11"/>
        <v>0</v>
      </c>
      <c r="AK18" s="870">
        <f t="shared" si="11"/>
        <v>0</v>
      </c>
      <c r="AL18" s="874">
        <f>IF(ISNUMBER(NºAsuntos!G18/NºAsuntos!E18),NºAsuntos!G18/NºAsuntos!E18," - ")</f>
        <v>1.062770309760374</v>
      </c>
      <c r="AM18" s="874">
        <f>IF(ISNUMBER(((NºAsuntos!I18/NºAsuntos!G18)*11)/factor_trimestre),((NºAsuntos!I18/NºAsuntos!G18)*11)/factor_trimestre," - ")</f>
        <v>3.1661900571931367</v>
      </c>
      <c r="AN18" s="875">
        <f>IF(ISNUMBER('Resol  Asuntos'!D18/NºAsuntos!G18),'Resol  Asuntos'!D18/NºAsuntos!G18," - ")</f>
        <v>0.14045314562252531</v>
      </c>
      <c r="AO18" s="876">
        <f>IF(ISNUMBER((NºAsuntos!C18+NºAsuntos!E18)/NºAsuntos!G18),(NºAsuntos!C18+NºAsuntos!E18)/NºAsuntos!G18," - ")</f>
        <v>1.2961944566652002</v>
      </c>
      <c r="AP18" s="877" t="str">
        <f t="shared" si="2"/>
        <v xml:space="preserve"> - </v>
      </c>
      <c r="AQ18" s="877">
        <f>IF(ISNUMBER((H18-W18+K18)/(F18)),(H18-W18+K18)/(F18)," - ")</f>
        <v>-3.0226063829787235</v>
      </c>
      <c r="AR18" s="878">
        <f>IF(ISNUMBER((Datos!P18-Datos!Q18)/(Datos!R18-Datos!P18+Datos!Q18)),(Datos!P18-Datos!Q18)/(Datos!R18-Datos!P18+Datos!Q18)," - ")</f>
        <v>0.27272727272727271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3078</v>
      </c>
      <c r="G19" s="821">
        <f t="shared" si="13"/>
        <v>3332</v>
      </c>
      <c r="H19" s="820">
        <f t="shared" si="13"/>
        <v>0</v>
      </c>
      <c r="I19" s="822">
        <f t="shared" si="13"/>
        <v>0</v>
      </c>
      <c r="J19" s="822">
        <f t="shared" si="13"/>
        <v>0</v>
      </c>
      <c r="K19" s="881">
        <f t="shared" si="13"/>
        <v>0</v>
      </c>
      <c r="L19" s="822">
        <f t="shared" si="13"/>
        <v>2163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9141</v>
      </c>
      <c r="X19" s="821">
        <f t="shared" si="14"/>
        <v>3070</v>
      </c>
      <c r="Y19" s="828">
        <f t="shared" si="14"/>
        <v>12211</v>
      </c>
      <c r="Z19" s="828">
        <f t="shared" si="14"/>
        <v>0</v>
      </c>
      <c r="AA19" s="828">
        <f t="shared" si="14"/>
        <v>2689</v>
      </c>
      <c r="AB19" s="828">
        <f t="shared" si="14"/>
        <v>7964</v>
      </c>
      <c r="AC19" s="828">
        <f t="shared" si="14"/>
        <v>3213</v>
      </c>
      <c r="AD19" s="828">
        <f t="shared" si="14"/>
        <v>0</v>
      </c>
      <c r="AE19" s="830">
        <f t="shared" si="14"/>
        <v>0</v>
      </c>
      <c r="AF19" s="831">
        <f t="shared" si="14"/>
        <v>0</v>
      </c>
      <c r="AG19" s="832">
        <f t="shared" si="14"/>
        <v>0</v>
      </c>
      <c r="AH19" s="830">
        <f t="shared" si="14"/>
        <v>0</v>
      </c>
      <c r="AI19" s="820">
        <f t="shared" si="14"/>
        <v>4000</v>
      </c>
      <c r="AJ19" s="820">
        <f t="shared" si="14"/>
        <v>0</v>
      </c>
      <c r="AK19" s="830">
        <f t="shared" si="14"/>
        <v>0</v>
      </c>
      <c r="AL19" s="884">
        <f>IF(ISNUMBER(NºAsuntos!G19/NºAsuntos!E19),NºAsuntos!G19/NºAsuntos!E19," - ")</f>
        <v>1.0945761449671094</v>
      </c>
      <c r="AM19" s="885">
        <f>IF(ISNUMBER(((NºAsuntos!I19/NºAsuntos!G19)*11)/factor_trimestre),((NºAsuntos!I19/NºAsuntos!G19)*11)/factor_trimestre," - ")</f>
        <v>6.1273953963034362</v>
      </c>
      <c r="AN19" s="885">
        <f>IF(ISNUMBER('Resol  Asuntos'!D19/NºAsuntos!G19),'Resol  Asuntos'!D19/NºAsuntos!G19," - ")</f>
        <v>0.22678308198208413</v>
      </c>
      <c r="AO19" s="886">
        <f>IF(ISNUMBER((NºAsuntos!C19+NºAsuntos!E19)/NºAsuntos!G19),(NºAsuntos!C19+NºAsuntos!E19)/NºAsuntos!G19," - ")</f>
        <v>1.5825490418414787</v>
      </c>
      <c r="AP19" s="887" t="str">
        <f t="shared" si="2"/>
        <v xml:space="preserve"> - </v>
      </c>
      <c r="AQ19" s="888">
        <f>IF(OR(ISNUMBER(FIND("01",Criterios!A8,1)),ISNUMBER(FIND("02",Criterios!A8,1)),ISNUMBER(FIND("03",Criterios!A8,1)),ISNUMBER(FIND("04",Criterios!A8,1))),(I19-W19+K19)/(F19-K19),(H19-W19+K19)/(F19-K19))</f>
        <v>-2.969785575048733</v>
      </c>
      <c r="AR19" s="889">
        <f>IF(ISNUMBER((Datos!P19-Datos!Q19)/(Datos!R19-Datos!P19+Datos!Q19)),(Datos!P19-Datos!Q19)/(Datos!R19-Datos!P19+Datos!Q19)," - ")</f>
        <v>-0.10224326456994702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1332.8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3.6893239368631092</v>
      </c>
      <c r="F21" s="252">
        <f>IF(ISNUMBER(STDEV(F8:F18)),STDEV(F8:F18),"-")</f>
        <v>1696.2550908791206</v>
      </c>
      <c r="G21" s="253">
        <f>IF(ISNUMBER(STDEV(G8:G18)),STDEV(G8:G18),"-")</f>
        <v>1620.9079862842309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4662.4669757543588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1185.693496088541</v>
      </c>
      <c r="AJ21" s="252">
        <f t="shared" si="18"/>
        <v>0</v>
      </c>
      <c r="AK21" s="254">
        <f t="shared" si="18"/>
        <v>0</v>
      </c>
      <c r="AL21" s="249">
        <f t="shared" si="18"/>
        <v>7.8714934652417579E-2</v>
      </c>
      <c r="AM21" s="250">
        <f t="shared" si="18"/>
        <v>5.288169645472065</v>
      </c>
      <c r="AN21" s="250">
        <f t="shared" si="18"/>
        <v>0.16923889899066491</v>
      </c>
      <c r="AO21" s="251">
        <f t="shared" si="18"/>
        <v>0.6968586263403499</v>
      </c>
      <c r="AP21" s="291" t="str">
        <f t="shared" si="18"/>
        <v>-</v>
      </c>
      <c r="AQ21" s="292">
        <f t="shared" si="18"/>
        <v>1.6423307234314151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u/PTEz0FVO3uKinu2wBPPF1cpN4mV/T6H4YWxCZelDIJ8dtetJvkzfH7vVtOc3hKRmCWA2J3xIQnXMHQZHKyzw==" saltValue="6jJ9NPlQ+7vv3w+OmjoP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CIUDAD REAL</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-8.1081081081081086E-2</v>
      </c>
      <c r="E10" s="348">
        <f>IF(ISNUMBER((Datos!J10-Datos!T10)/Datos!T10),(Datos!J10-Datos!T10)/Datos!T10," - ")</f>
        <v>1.125</v>
      </c>
      <c r="F10" s="348">
        <f>IF(ISNUMBER((Datos!K10-Datos!U10)/Datos!U10),(Datos!K10-Datos!U10)/Datos!U10," - ")</f>
        <v>0.48484848484848486</v>
      </c>
      <c r="G10" s="349">
        <f>IF(ISNUMBER((Datos!L10-Datos!V10)/Datos!V10),(Datos!L10-Datos!V10)/Datos!V10," - ")</f>
        <v>-0.29411764705882354</v>
      </c>
      <c r="H10" s="230">
        <f>IF(ISNUMBER((Datos!M10-Datos!W10)/Datos!W10),(Datos!M10-Datos!W10)/Datos!W10," - ")</f>
        <v>0</v>
      </c>
      <c r="I10" s="350">
        <f>IF(ISNUMBER((Tasas!C10-Datos!BE10)/Datos!BE10),(Tasas!C10-Datos!BE10)/Datos!BE10," - ")</f>
        <v>-0.52460984393757504</v>
      </c>
      <c r="J10" s="349">
        <f>IF(ISNUMBER((Tasas!D10-Datos!BF10)/Datos!BF10),(Tasas!D10-Datos!BF10)/Datos!BF10," - ")</f>
        <v>-0.32653061224489799</v>
      </c>
      <c r="K10" s="351">
        <f>IF(ISNUMBER((Tasas!E10-Datos!BG10)/Datos!BG10),(Tasas!E10-Datos!BG10)/Datos!BG10," - ")</f>
        <v>-0.23673469387755097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0.31720430107526881</v>
      </c>
      <c r="I12" s="350">
        <f>IF(ISNUMBER((Tasas!C12-Datos!BE12)/Datos!BE12),(Tasas!C12-Datos!BE12)/Datos!BE12," - ")</f>
        <v>-0.37977667911304303</v>
      </c>
      <c r="J12" s="349">
        <f>IF(ISNUMBER((Tasas!D12-Datos!BF12)/Datos!BF12),(Tasas!D12-Datos!BF12)/Datos!BF12," - ")</f>
        <v>-0.12592824999858659</v>
      </c>
      <c r="K12" s="351">
        <f>IF(ISNUMBER((Tasas!E12-Datos!BG12)/Datos!BG12),(Tasas!E12-Datos!BG12)/Datos!BG12," - ")</f>
        <v>-0.20135115622649424</v>
      </c>
      <c r="M12" t="e">
        <f>IF(Monitorios="SI",Datos!CE12,0)</f>
        <v>#REF!</v>
      </c>
      <c r="N12" t="e">
        <f>IF(Monitorios="SI",Datos!CF12,0)</f>
        <v>#REF!</v>
      </c>
      <c r="O12" t="e">
        <f>IF(Monitorios="SI",Datos!CG12,0)</f>
        <v>#REF!</v>
      </c>
      <c r="P12" t="e">
        <f>IF(Monitorios="SI",Datos!CH12,0)</f>
        <v>#REF!</v>
      </c>
      <c r="Q12">
        <f>IF(J_V="SI",0,Datos!AG12)</f>
        <v>214</v>
      </c>
      <c r="R12">
        <f>IF(J_V="SI",0,Datos!AH12)</f>
        <v>828</v>
      </c>
      <c r="S12">
        <f>IF(J_V="SI",0,Datos!AI12)</f>
        <v>851</v>
      </c>
      <c r="T12">
        <f>IF(J_V="SI",0,Datos!AJ12)</f>
        <v>191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0.31292189006750243</v>
      </c>
      <c r="I13" s="357">
        <f>IF(ISNUMBER((Tasas!C13-Datos!BE13)/Datos!BE13),(Tasas!C13-Datos!BE13)/Datos!BE13," - ")</f>
        <v>-0.3812771954003864</v>
      </c>
      <c r="J13" s="355">
        <f>IF(ISNUMBER((Tasas!D13-Datos!BF13)/Datos!BF13),(Tasas!D13-Datos!BF13)/Datos!BF13," - ")</f>
        <v>-0.128036844525277</v>
      </c>
      <c r="K13" s="358">
        <f>IF(ISNUMBER((Tasas!E13-Datos!BG13)/Datos!BG13),(Tasas!E13-Datos!BG13)/Datos!BG13," - ")</f>
        <v>-0.20141831290114445</v>
      </c>
      <c r="M13" t="e">
        <f>IF(Monitorios="SI",Datos!CE13,0)</f>
        <v>#REF!</v>
      </c>
      <c r="N13" t="e">
        <f>IF(Monitorios="SI",Datos!CF13,0)</f>
        <v>#REF!</v>
      </c>
      <c r="O13" t="e">
        <f>IF(Monitorios="SI",Datos!CG13,0)</f>
        <v>#REF!</v>
      </c>
      <c r="P13" t="e">
        <f>IF(Monitorios="SI",Datos!CH13,0)</f>
        <v>#REF!</v>
      </c>
      <c r="Q13">
        <f>IF(J_V="SI",0,Datos!AG13)</f>
        <v>214</v>
      </c>
      <c r="R13">
        <f>IF(J_V="SI",0,Datos!AH13)</f>
        <v>828</v>
      </c>
      <c r="S13">
        <f>IF(J_V="SI",0,Datos!AI13)</f>
        <v>851</v>
      </c>
      <c r="T13">
        <f>IF(J_V="SI",0,Datos!AJ13)</f>
        <v>191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0.24073302790503956</v>
      </c>
      <c r="E16" s="348">
        <f>IF(ISNUMBER(
   IF(D_I="SI",(Datos!J16-Datos!T16)/Datos!T16,(Datos!J16+Datos!AD16-(Datos!T16+Datos!AL16))/(Datos!T16+Datos!AL16))
     ),IF(D_I="SI",(Datos!J16-Datos!T16)/Datos!T16,(Datos!J16+Datos!AD16-(Datos!T16+Datos!AL16))/(Datos!T16+Datos!AL16))," - ")</f>
        <v>9.5331283198210798E-2</v>
      </c>
      <c r="F16" s="348">
        <f>IF(ISNUMBER(
   IF(D_I="SI",(Datos!K16-Datos!U16)/Datos!U16,(Datos!K16+Datos!AE16-(Datos!U16+Datos!AM16))/(Datos!U16+Datos!AM16))
     ),IF(D_I="SI",(Datos!K16-Datos!U16)/Datos!U16,(Datos!K16+Datos!AE16-(Datos!U16+Datos!AM16))/(Datos!U16+Datos!AM16))," - ")</f>
        <v>0.36438889790618406</v>
      </c>
      <c r="G16" s="349">
        <f>IF(ISNUMBER(
   IF(D_I="SI",(Datos!L16-Datos!V16)/Datos!V16,(Datos!L16+Datos!AF16-(Datos!V16+Datos!AN16))/(Datos!V16+Datos!AN16))
     ),IF(D_I="SI",(Datos!L16-Datos!V16)/Datos!V16,(Datos!L16+Datos!AF16-(Datos!V16+Datos!AN16))/(Datos!V16+Datos!AN16))," - ")</f>
        <v>-0.18160456529036589</v>
      </c>
      <c r="H16" s="230">
        <f>IF(ISNUMBER((Datos!M16-Datos!W16)/Datos!W16),(Datos!M16-Datos!W16)/Datos!W16," - ")</f>
        <v>0.26537216828478966</v>
      </c>
      <c r="I16" s="350">
        <f>IF(ISNUMBER((Tasas!C16-Datos!BE16)/Datos!BE16),(Tasas!C16-Datos!BE16)/Datos!BE16," - ")</f>
        <v>-0.40017436673256529</v>
      </c>
      <c r="J16" s="349">
        <f>IF(ISNUMBER((Tasas!D16-Datos!BF16)/Datos!BF16),(Tasas!D16-Datos!BF16)/Datos!BF16," - ")</f>
        <v>-7.2572218795790178E-2</v>
      </c>
      <c r="K16" s="351">
        <f>IF(ISNUMBER((Tasas!E16-Datos!BG16)/Datos!BG16),(Tasas!E16-Datos!BG16)/Datos!BG16," - ")</f>
        <v>-0.17042118005715426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-0.47925311203319504</v>
      </c>
      <c r="E17" s="348">
        <f>IF(ISNUMBER(
   IF(D_I="SI",(Datos!J17-Datos!T17)/Datos!T17,(Datos!J17+Datos!AD17-(Datos!T17+Datos!AL17))/(Datos!T17+Datos!AL17))
     ),IF(D_I="SI",(Datos!J17-Datos!T17)/Datos!T17,(Datos!J17+Datos!AD17-(Datos!T17+Datos!AL17))/(Datos!T17+Datos!AL17))," - ")</f>
        <v>-2.7063599458728011E-2</v>
      </c>
      <c r="F17" s="348">
        <f>IF(ISNUMBER(
   IF(D_I="SI",(Datos!K17-Datos!U17)/Datos!U17,(Datos!K17+Datos!AE17-(Datos!U17+Datos!AM17))/(Datos!U17+Datos!AM17))
     ),IF(D_I="SI",(Datos!K17-Datos!U17)/Datos!U17,(Datos!K17+Datos!AE17-(Datos!U17+Datos!AM17))/(Datos!U17+Datos!AM17))," - ")</f>
        <v>-0.12944162436548223</v>
      </c>
      <c r="G17" s="349">
        <f>IF(ISNUMBER(
   IF(D_I="SI",(Datos!L17-Datos!V17)/Datos!V17,(Datos!L17+Datos!AF17-(Datos!V17+Datos!AN17))/(Datos!V17+Datos!AN17))
     ),IF(D_I="SI",(Datos!L17-Datos!V17)/Datos!V17,(Datos!L17+Datos!AF17-(Datos!V17+Datos!AN17))/(Datos!V17+Datos!AN17))," - ")</f>
        <v>-0.28685258964143429</v>
      </c>
      <c r="H17" s="230">
        <f>IF(ISNUMBER((Datos!M17-Datos!W17)/Datos!W17),(Datos!M17-Datos!W17)/Datos!W17," - ")</f>
        <v>-1.8867924528301886E-2</v>
      </c>
      <c r="I17" s="350">
        <f>IF(ISNUMBER((Tasas!C17-Datos!BE17)/Datos!BE17),(Tasas!C17-Datos!BE17)/Datos!BE17," - ")</f>
        <v>-0.18081609422368836</v>
      </c>
      <c r="J17" s="349">
        <f>IF(ISNUMBER((Tasas!D17-Datos!BF17)/Datos!BF17),(Tasas!D17-Datos!BF17)/Datos!BF17," - ")</f>
        <v>0.12701468727652804</v>
      </c>
      <c r="K17" s="351">
        <f>IF(ISNUMBER((Tasas!E17-Datos!BG17)/Datos!BG17),(Tasas!E17-Datos!BG17)/Datos!BG17," - ")</f>
        <v>-8.7446842548883311E-2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0.1203607353451266</v>
      </c>
      <c r="E18" s="354">
        <f>IF(ISNUMBER(
   IF(D_I="SI",(Datos!J18-Datos!T18)/Datos!T18,(Datos!J18+Datos!AD18-(Datos!T18+Datos!AL18))/(Datos!T18+Datos!AL18))
     ),IF(D_I="SI",(Datos!J18-Datos!T18)/Datos!T18,(Datos!J18+Datos!AD18-(Datos!T18+Datos!AL18))/(Datos!T18+Datos!AL18))," - ")</f>
        <v>8.3871785126061069E-2</v>
      </c>
      <c r="F18" s="354">
        <f>IF(ISNUMBER(
   IF(D_I="SI",(Datos!K18-Datos!U18)/Datos!U18,(Datos!K18+Datos!AE18-(Datos!U18+Datos!AM18))/(Datos!U18+Datos!AM18))
     ),IF(D_I="SI",(Datos!K18-Datos!U18)/Datos!U18,(Datos!K18+Datos!AE18-(Datos!U18+Datos!AM18))/(Datos!U18+Datos!AM18))," - ")</f>
        <v>0.30838969635918839</v>
      </c>
      <c r="G18" s="355">
        <f>IF(ISNUMBER(
   IF(D_I="SI",(Datos!L18-Datos!V18)/Datos!V18,(Datos!L18+Datos!AF18-(Datos!V18+Datos!AN18))/(Datos!V18+Datos!AN18))
     ),IF(D_I="SI",(Datos!L18-Datos!V18)/Datos!V18,(Datos!L18+Datos!AF18-(Datos!V18+Datos!AN18))/(Datos!V18+Datos!AN18))," - ")</f>
        <v>-0.18978328173374612</v>
      </c>
      <c r="H18" s="356">
        <f>IF(ISNUMBER((Datos!M18-Datos!W18)/Datos!W18),(Datos!M18-Datos!W18)/Datos!W18," - ")</f>
        <v>0.23620522749273959</v>
      </c>
      <c r="I18" s="357">
        <f>IF(ISNUMBER((Tasas!C18-Datos!BE18)/Datos!BE18),(Tasas!C18-Datos!BE18)/Datos!BE18," - ")</f>
        <v>-0.38075275239417095</v>
      </c>
      <c r="J18" s="355">
        <f>IF(ISNUMBER((Tasas!D18-Datos!BF18)/Datos!BF18),(Tasas!D18-Datos!BF18)/Datos!BF18," - ")</f>
        <v>-5.5170465700940564E-2</v>
      </c>
      <c r="K18" s="358">
        <f>IF(ISNUMBER((Tasas!E18-Datos!BG18)/Datos!BG18),(Tasas!E18-Datos!BG18)/Datos!BG18," - ")</f>
        <v>-0.16413740911595434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0.11279826464208242</v>
      </c>
      <c r="E19" s="363">
        <f>IF(ISNUMBER(
   IF(J_V="SI",(Datos!J19-Datos!T19)/Datos!T19,(Datos!J19+Datos!Z19-(Datos!T19+Datos!AH19))/(Datos!T19+Datos!AH19))
     ),IF(J_V="SI",(Datos!J19-Datos!T19)/Datos!T19,(Datos!J19+Datos!Z19-(Datos!T19+Datos!AH19))/(Datos!T19+Datos!AH19))," - ")</f>
        <v>7.2265105137077457E-2</v>
      </c>
      <c r="F19" s="363">
        <f>IF(ISNUMBER(
   IF(J_V="SI",(Datos!K19-Datos!U19)/Datos!U19,(Datos!K19+Datos!AA19-(Datos!U19+Datos!AI19))/(Datos!U19+Datos!AI19))
     ),IF(J_V="SI",(Datos!K19-Datos!U19)/Datos!U19,(Datos!K19+Datos!AA19-(Datos!U19+Datos!AI19))/(Datos!U19+Datos!AI19))," - ")</f>
        <v>0.3326785039667548</v>
      </c>
      <c r="G19" s="364">
        <f>IF(ISNUMBER(
   IF(J_V="SI",(Datos!L19-Datos!V19)/Datos!V19,(Datos!L19+Datos!AB19-(Datos!V19+Datos!AJ19))/(Datos!V19+Datos!AJ19))
     ),IF(J_V="SI",(Datos!L19-Datos!V19)/Datos!V19,(Datos!L19+Datos!AB19-(Datos!V19+Datos!AJ19))/(Datos!V19+Datos!AJ19))," - ")</f>
        <v>-0.167302313755403</v>
      </c>
      <c r="H19" s="365">
        <f>IF(ISNUMBER((Datos!M19-Datos!W19)/Datos!W19),(Datos!M19-Datos!W19)/Datos!W19," - ")</f>
        <v>0.28741551335693594</v>
      </c>
      <c r="I19" s="362">
        <f>IF(ISNUMBER((Tasas!C19-Datos!BE19)/Datos!BE19),(Tasas!C19-Datos!BE19)/Datos!BE19," - ")</f>
        <v>-0.37516986747662762</v>
      </c>
      <c r="J19" s="363">
        <f>IF(ISNUMBER((Tasas!D19-Datos!BF19)/Datos!BF19),(Tasas!D19-Datos!BF19)/Datos!BF19," - ")</f>
        <v>-9.8656429419554562E-2</v>
      </c>
      <c r="K19" s="364">
        <f>IF(ISNUMBER((Tasas!E19-Datos!BG19)/Datos!BG19),(Tasas!E19-Datos!BG19)/Datos!BG19," - ")</f>
        <v>-0.18282405802458074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0.31558020492251959</v>
      </c>
      <c r="E21" s="278">
        <f t="shared" si="1"/>
        <v>0.53997180870195161</v>
      </c>
      <c r="F21" s="278">
        <f t="shared" si="1"/>
        <v>0.26797097403575332</v>
      </c>
      <c r="G21" s="279">
        <f t="shared" si="1"/>
        <v>6.0665835378628373E-2</v>
      </c>
      <c r="H21" s="285">
        <f t="shared" si="1"/>
        <v>0.15408402800197565</v>
      </c>
      <c r="I21" s="277">
        <f t="shared" si="1"/>
        <v>0.11028910802467619</v>
      </c>
      <c r="J21" s="278">
        <f t="shared" si="1"/>
        <v>0.14629650538148395</v>
      </c>
      <c r="K21" s="279">
        <f t="shared" si="1"/>
        <v>5.0962577465855613E-2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EJtEhp+ohajWT/8e/PTUvDzw+FZsXVgTFdiwnoLtRqG/cXptnUwqjQI1wQC9yG1/tA+xWKYVha28+PXL73oHA==" saltValue="tCjbb5Ow2wGfaoKyrf1jT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